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2468 - Boyet Junior High School Gym\Documents\Estimates\"/>
    </mc:Choice>
  </mc:AlternateContent>
  <xr:revisionPtr revIDLastSave="0" documentId="13_ncr:1_{0EAB0EAB-BB69-4EAC-8A00-8BBC4101F737}" xr6:coauthVersionLast="47" xr6:coauthVersionMax="47" xr10:uidLastSave="{00000000-0000-0000-0000-000000000000}"/>
  <bookViews>
    <workbookView xWindow="555" yWindow="15" windowWidth="24120" windowHeight="15585" xr2:uid="{00000000-000D-0000-FFFF-FFFF00000000}"/>
  </bookViews>
  <sheets>
    <sheet name="Sheet1" sheetId="1" r:id="rId1"/>
    <sheet name="Electrical" sheetId="2" r:id="rId2"/>
  </sheets>
  <definedNames>
    <definedName name="_xlnm.Print_Area" localSheetId="0">Sheet1!$B$1:$L$51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H23" i="1" l="1"/>
  <c r="E20" i="1"/>
  <c r="E19" i="1"/>
  <c r="E12" i="1"/>
  <c r="H12" i="1" l="1"/>
  <c r="J23" i="1"/>
  <c r="H37" i="1"/>
  <c r="H36" i="1"/>
  <c r="H35" i="1"/>
  <c r="H34" i="1"/>
  <c r="H33" i="1"/>
  <c r="H32" i="1"/>
  <c r="H31" i="1"/>
  <c r="H30" i="1"/>
  <c r="H29" i="1"/>
  <c r="H28" i="1"/>
  <c r="H27" i="1"/>
  <c r="J33" i="1"/>
  <c r="J34" i="1"/>
  <c r="J36" i="1"/>
  <c r="J35" i="1"/>
  <c r="I28" i="2" l="1"/>
  <c r="I27" i="2"/>
  <c r="I26" i="2"/>
  <c r="I25" i="2"/>
  <c r="I24" i="2"/>
  <c r="I20" i="2"/>
  <c r="I19" i="2"/>
  <c r="I18" i="2"/>
  <c r="I17" i="2"/>
  <c r="I16" i="2"/>
  <c r="I10" i="2"/>
  <c r="I7" i="2"/>
  <c r="I6" i="2"/>
  <c r="K28" i="2"/>
  <c r="K27" i="2"/>
  <c r="K26" i="2"/>
  <c r="K25" i="2"/>
  <c r="K24" i="2"/>
  <c r="K20" i="2"/>
  <c r="K19" i="2"/>
  <c r="K18" i="2"/>
  <c r="K17" i="2"/>
  <c r="K16" i="2"/>
  <c r="K11" i="2"/>
  <c r="K7" i="2"/>
  <c r="K5" i="2"/>
  <c r="K4" i="2"/>
  <c r="F9" i="2"/>
  <c r="F11" i="2"/>
  <c r="I11" i="2" s="1"/>
  <c r="F7" i="2"/>
  <c r="F5" i="2"/>
  <c r="F3" i="2"/>
  <c r="F4" i="2"/>
  <c r="F6" i="2"/>
  <c r="F2" i="2"/>
  <c r="D10" i="2"/>
  <c r="K10" i="2" s="1"/>
  <c r="G16" i="1" s="1"/>
  <c r="H16" i="1" s="1"/>
  <c r="D9" i="2"/>
  <c r="D8" i="2" s="1"/>
  <c r="I8" i="2" s="1"/>
  <c r="D6" i="2"/>
  <c r="K6" i="2" s="1"/>
  <c r="G17" i="1" s="1"/>
  <c r="H17" i="1" s="1"/>
  <c r="D5" i="2"/>
  <c r="I5" i="2" s="1"/>
  <c r="D3" i="2"/>
  <c r="K3" i="2" s="1"/>
  <c r="D2" i="2"/>
  <c r="I2" i="2" s="1"/>
  <c r="D4" i="2"/>
  <c r="I4" i="2" s="1"/>
  <c r="H10" i="1"/>
  <c r="H9" i="1"/>
  <c r="K8" i="2" l="1"/>
  <c r="M6" i="2"/>
  <c r="G14" i="1"/>
  <c r="H14" i="1" s="1"/>
  <c r="K2" i="2"/>
  <c r="G18" i="1" s="1"/>
  <c r="H18" i="1" s="1"/>
  <c r="K9" i="2"/>
  <c r="I3" i="2"/>
  <c r="J17" i="1"/>
  <c r="I9" i="2"/>
  <c r="J15" i="1" s="1"/>
  <c r="M10" i="2"/>
  <c r="J16" i="1"/>
  <c r="M8" i="2"/>
  <c r="M4" i="2"/>
  <c r="J14" i="1"/>
  <c r="J18" i="1"/>
  <c r="E39" i="1"/>
  <c r="H38" i="1"/>
  <c r="H24" i="1"/>
  <c r="H22" i="1"/>
  <c r="H21" i="1"/>
  <c r="H20" i="1"/>
  <c r="H19" i="1"/>
  <c r="H8" i="1"/>
  <c r="H7" i="1"/>
  <c r="H6" i="1"/>
  <c r="H5" i="1"/>
  <c r="H11" i="1"/>
  <c r="M2" i="2" l="1"/>
  <c r="G15" i="1"/>
  <c r="H15" i="1" s="1"/>
  <c r="J39" i="1"/>
  <c r="H39" i="1"/>
  <c r="J42" i="1" l="1"/>
  <c r="J46" i="1" s="1"/>
  <c r="J49" i="1" l="1"/>
  <c r="J47" i="1"/>
  <c r="J48" i="1" s="1"/>
  <c r="J50" i="1" l="1"/>
</calcChain>
</file>

<file path=xl/sharedStrings.xml><?xml version="1.0" encoding="utf-8"?>
<sst xmlns="http://schemas.openxmlformats.org/spreadsheetml/2006/main" count="249" uniqueCount="130">
  <si>
    <t>DESCRIPTION</t>
  </si>
  <si>
    <t>$, TOTAL</t>
  </si>
  <si>
    <t>LABOR</t>
  </si>
  <si>
    <t>REMARKS</t>
  </si>
  <si>
    <t>Demolition</t>
  </si>
  <si>
    <t>TOTAL LABOR HOURS</t>
  </si>
  <si>
    <t>TASK</t>
  </si>
  <si>
    <t>Demolition, condenser "B" on grade</t>
  </si>
  <si>
    <t>Construction</t>
  </si>
  <si>
    <t>Approximately 30 feet above grade</t>
  </si>
  <si>
    <t>Demolish exist. condenser</t>
  </si>
  <si>
    <t>Demolish exist. Fan coil unit</t>
  </si>
  <si>
    <t>CREW</t>
  </si>
  <si>
    <t>16" side wall exhaust fan, 1500 CFM</t>
  </si>
  <si>
    <t xml:space="preserve">MATERIAL </t>
  </si>
  <si>
    <t xml:space="preserve">Bond (3%):  </t>
  </si>
  <si>
    <t xml:space="preserve">Tax (9%):  </t>
  </si>
  <si>
    <t xml:space="preserve">Total:  </t>
  </si>
  <si>
    <t>Equipment, labor &amp; material</t>
  </si>
  <si>
    <t>16" side wall exhaust fan</t>
  </si>
  <si>
    <t>Overall Subtotal:</t>
  </si>
  <si>
    <t xml:space="preserve">EQUIPMENT </t>
  </si>
  <si>
    <t>Manlift</t>
  </si>
  <si>
    <t>Forklift</t>
  </si>
  <si>
    <t>Scafolding</t>
  </si>
  <si>
    <t>Ladder</t>
  </si>
  <si>
    <t>Scaffolding</t>
  </si>
  <si>
    <t xml:space="preserve">3 sht. mtl. </t>
  </si>
  <si>
    <t xml:space="preserve">2 sht. mtl. </t>
  </si>
  <si>
    <t>Including 5 ton condenser</t>
  </si>
  <si>
    <t>w/ exterior rain hood &amp; shutter</t>
  </si>
  <si>
    <t xml:space="preserve">Permits &amp; Fees (3%):  </t>
  </si>
  <si>
    <t>2 sht. mtl.</t>
  </si>
  <si>
    <t>Painted steel to match wall</t>
  </si>
  <si>
    <t xml:space="preserve">Equipment Subtotal ($) :  </t>
  </si>
  <si>
    <t>Labor Subtotal ($):</t>
  </si>
  <si>
    <t>Material Subtotal ($):</t>
  </si>
  <si>
    <t xml:space="preserve">1 sht. mtl. </t>
  </si>
  <si>
    <t>16" x 10" registers</t>
  </si>
  <si>
    <t>30,000 BTUH mini-split</t>
  </si>
  <si>
    <t>18,000 BTUH mini-split</t>
  </si>
  <si>
    <t>New installation</t>
  </si>
  <si>
    <t>30,000 BTUH mini-split system with ceiling cassette for front entry lobby</t>
  </si>
  <si>
    <t>18,000 BTUH mini-split system for area adjacent to front entry lobby</t>
  </si>
  <si>
    <t>1-1/2" thk duct wrap with FSK &amp; weather jacket</t>
  </si>
  <si>
    <t xml:space="preserve">Install S/A &amp; R/A grilles in upper wall - both 15 ton units </t>
  </si>
  <si>
    <t>Sidewall registers w/ adjustable vanes</t>
  </si>
  <si>
    <t>16" x 16" metal duct, 50 ft. long</t>
  </si>
  <si>
    <t xml:space="preserve">280 Lb. galvanized sheetmetal </t>
  </si>
  <si>
    <t>w/ adjustable vanes</t>
  </si>
  <si>
    <t>Replace in kind</t>
  </si>
  <si>
    <t>Demolition, air handling unit "B" (15 ton in trusses, 30 ft above grade)</t>
  </si>
  <si>
    <t>Demolition, air handling unit "A" (15 ton in trusses, 30 ft above grade)</t>
  </si>
  <si>
    <t>Demolition, condenser "A", on grade</t>
  </si>
  <si>
    <t>Mobilization and demobilization</t>
  </si>
  <si>
    <t xml:space="preserve">Height/difficulty factor: </t>
  </si>
  <si>
    <t>1 elect, 1 sht. mtl.</t>
  </si>
  <si>
    <t>Duct insulation, 300 Sq. Ft.</t>
  </si>
  <si>
    <t>1-1/2" thk duct wrap with FSK vapor barrier</t>
  </si>
  <si>
    <t xml:space="preserve">Administartion:  </t>
  </si>
  <si>
    <t>Grille balancing</t>
  </si>
  <si>
    <t>Air balance</t>
  </si>
  <si>
    <t>balance to within 10% of design</t>
  </si>
  <si>
    <t>Duct insulation, interior liner, both units</t>
  </si>
  <si>
    <t>Duct insulation, liner</t>
  </si>
  <si>
    <t>Structural</t>
  </si>
  <si>
    <t>Electrical</t>
  </si>
  <si>
    <t>Fabricate &amp; install 16" x 16" metal duct, 50 ft. long</t>
  </si>
  <si>
    <t>Install structural supports</t>
  </si>
  <si>
    <t>Crane</t>
  </si>
  <si>
    <t>Demolition, Ductless Mini-Split (1.5 ton Food Services @ Entrance)</t>
  </si>
  <si>
    <t>Install 15 ton packaged RTU#1 on roof</t>
  </si>
  <si>
    <t>Install 15 ton packaged RTU#2 on roof</t>
  </si>
  <si>
    <t>Wire</t>
  </si>
  <si>
    <t>Labor Hrs</t>
  </si>
  <si>
    <t>Length</t>
  </si>
  <si>
    <t>#6</t>
  </si>
  <si>
    <t>2/0</t>
  </si>
  <si>
    <t>Conduit</t>
  </si>
  <si>
    <t>1"</t>
  </si>
  <si>
    <t>2"</t>
  </si>
  <si>
    <t>Size</t>
  </si>
  <si>
    <t>MiniSp</t>
  </si>
  <si>
    <t>RTU#1</t>
  </si>
  <si>
    <t>AHU#2</t>
  </si>
  <si>
    <t>RTU#2</t>
  </si>
  <si>
    <t>AHU#1</t>
  </si>
  <si>
    <t>#4</t>
  </si>
  <si>
    <t>1.25"</t>
  </si>
  <si>
    <t>4/0</t>
  </si>
  <si>
    <t>2.5</t>
  </si>
  <si>
    <t>#2</t>
  </si>
  <si>
    <t>1.5</t>
  </si>
  <si>
    <t>Labor/hr</t>
  </si>
  <si>
    <t>Material/CLF</t>
  </si>
  <si>
    <t>Disconnects</t>
  </si>
  <si>
    <t>Breakers</t>
  </si>
  <si>
    <t>Material Cost</t>
  </si>
  <si>
    <t>Wire CLF = 100 FT</t>
  </si>
  <si>
    <t>Conduit = LF</t>
  </si>
  <si>
    <t>40 Amp</t>
  </si>
  <si>
    <t>150 Amp</t>
  </si>
  <si>
    <t>60 Amp</t>
  </si>
  <si>
    <t>3 Phase</t>
  </si>
  <si>
    <t>1 Phase</t>
  </si>
  <si>
    <t xml:space="preserve">RTU#1 </t>
  </si>
  <si>
    <t>Mini-Split</t>
  </si>
  <si>
    <t>Labor HRs</t>
  </si>
  <si>
    <t>Materials</t>
  </si>
  <si>
    <t>Ductwork for "RTU#2"</t>
  </si>
  <si>
    <t>Ductwork for "RTU#1"</t>
  </si>
  <si>
    <t>Install on lower roof with duct routed to sidewall diffusers near roof in gym.</t>
  </si>
  <si>
    <t>625 Lb. galvanized sheetmetal</t>
  </si>
  <si>
    <t>Contingency (20%):</t>
  </si>
  <si>
    <t>4 each W10x22 Support Beams &amp; Columns</t>
  </si>
  <si>
    <t>Column Penetrations &amp; Protective covering for roof</t>
  </si>
  <si>
    <t>Penetrations and Protective Covering</t>
  </si>
  <si>
    <t>HVAC MECHANICAL ESTIMATE -- BOYET JUNIOR HIGH SCHOOL</t>
  </si>
  <si>
    <t>Install 4 ton split DX AHU #1</t>
  </si>
  <si>
    <t>Install 4 ton split DX AHU #2</t>
  </si>
  <si>
    <t xml:space="preserve">Install ductwork for 4 ton split DX </t>
  </si>
  <si>
    <t>S/A and R/A grilles for 4 ton DX unit</t>
  </si>
  <si>
    <t>Demolition, air handling unit (3 ton fan coil in gym)</t>
  </si>
  <si>
    <t>Demolition, condensing unit (3 ton  gym roof)</t>
  </si>
  <si>
    <t>15 Ton packaged DX unit, 208-3 phase, No Heat</t>
  </si>
  <si>
    <t>Fabricate &amp; install ductwork for 4 ton split DX air handling unit</t>
  </si>
  <si>
    <t>4 Ton split system DX</t>
  </si>
  <si>
    <t>Structural Steel</t>
  </si>
  <si>
    <t>20" x 40" duct</t>
  </si>
  <si>
    <t>Duct insulation, 600 Sq.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</si>
</sst>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6337778862885"/>
        <bgColor indexed="64"/>
      </patternFill>
    </fill>
  </fills>
  <borders count="7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thick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thick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2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4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3" fontId="0" fillId="0" borderId="54" xfId="0" applyNumberFormat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2" xfId="0" applyBorder="1" applyAlignment="1">
      <alignment horizontal="center" vertical="center"/>
    </xf>
    <xf numFmtId="0" fontId="4" fillId="0" borderId="50" xfId="0" applyFont="1" applyBorder="1" applyAlignment="1">
      <alignment horizontal="right" vertical="center"/>
    </xf>
    <xf numFmtId="42" fontId="4" fillId="3" borderId="5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164" fontId="0" fillId="0" borderId="58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9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164" fontId="0" fillId="0" borderId="64" xfId="0" applyNumberFormat="1" applyBorder="1" applyAlignment="1">
      <alignment horizontal="center" vertical="center"/>
    </xf>
    <xf numFmtId="0" fontId="0" fillId="0" borderId="64" xfId="0" applyBorder="1" applyAlignment="1">
      <alignment horizontal="left" vertical="center"/>
    </xf>
    <xf numFmtId="0" fontId="0" fillId="0" borderId="67" xfId="0" applyBorder="1" applyAlignment="1">
      <alignment horizontal="center" vertical="center"/>
    </xf>
    <xf numFmtId="164" fontId="0" fillId="0" borderId="66" xfId="0" applyNumberFormat="1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/>
    <xf numFmtId="4" fontId="5" fillId="0" borderId="0" xfId="0" applyNumberFormat="1" applyFont="1"/>
    <xf numFmtId="165" fontId="5" fillId="0" borderId="0" xfId="0" applyNumberFormat="1" applyFont="1"/>
    <xf numFmtId="3" fontId="0" fillId="0" borderId="28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6" fillId="0" borderId="4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69" xfId="0" applyNumberFormat="1" applyBorder="1" applyAlignment="1">
      <alignment horizontal="center" vertical="center"/>
    </xf>
    <xf numFmtId="164" fontId="6" fillId="0" borderId="49" xfId="0" applyNumberFormat="1" applyFont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4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57"/>
  <sheetViews>
    <sheetView tabSelected="1" workbookViewId="0">
      <selection activeCell="J23" sqref="J23"/>
    </sheetView>
  </sheetViews>
  <sheetFormatPr defaultRowHeight="15" x14ac:dyDescent="0.25"/>
  <cols>
    <col min="1" max="1" width="9.140625" style="1"/>
    <col min="2" max="2" width="12.28515625" style="1" bestFit="1" customWidth="1"/>
    <col min="3" max="3" width="66.140625" style="1" bestFit="1" customWidth="1"/>
    <col min="4" max="4" width="12.7109375" style="1" bestFit="1" customWidth="1"/>
    <col min="5" max="5" width="8.5703125" style="1" bestFit="1" customWidth="1"/>
    <col min="6" max="6" width="10.140625" style="1" bestFit="1" customWidth="1"/>
    <col min="7" max="7" width="19.7109375" style="1" bestFit="1" customWidth="1"/>
    <col min="8" max="8" width="8.5703125" style="1" bestFit="1" customWidth="1"/>
    <col min="9" max="9" width="35.7109375" style="1" bestFit="1" customWidth="1"/>
    <col min="10" max="10" width="10" style="1" bestFit="1" customWidth="1"/>
    <col min="11" max="11" width="43.42578125" style="1" bestFit="1" customWidth="1"/>
    <col min="12" max="16384" width="9.140625" style="1"/>
  </cols>
  <sheetData>
    <row r="1" spans="2:11" ht="15.75" thickBot="1" x14ac:dyDescent="0.3"/>
    <row r="2" spans="2:11" ht="23.25" customHeight="1" thickTop="1" x14ac:dyDescent="0.25">
      <c r="B2" s="106" t="s">
        <v>117</v>
      </c>
      <c r="C2" s="107"/>
      <c r="D2" s="107"/>
      <c r="E2" s="107"/>
      <c r="F2" s="107"/>
      <c r="G2" s="107"/>
      <c r="H2" s="107"/>
      <c r="I2" s="107"/>
      <c r="J2" s="107"/>
      <c r="K2" s="108"/>
    </row>
    <row r="3" spans="2:11" ht="15" customHeight="1" x14ac:dyDescent="0.25">
      <c r="B3" s="121" t="s">
        <v>6</v>
      </c>
      <c r="C3" s="115" t="s">
        <v>0</v>
      </c>
      <c r="D3" s="112" t="s">
        <v>21</v>
      </c>
      <c r="E3" s="113"/>
      <c r="F3" s="109" t="s">
        <v>2</v>
      </c>
      <c r="G3" s="110"/>
      <c r="H3" s="111"/>
      <c r="I3" s="125" t="s">
        <v>14</v>
      </c>
      <c r="J3" s="126"/>
      <c r="K3" s="123" t="s">
        <v>3</v>
      </c>
    </row>
    <row r="4" spans="2:11" ht="15.75" thickBot="1" x14ac:dyDescent="0.3">
      <c r="B4" s="122"/>
      <c r="C4" s="116"/>
      <c r="D4" s="4" t="s">
        <v>0</v>
      </c>
      <c r="E4" s="34" t="s">
        <v>1</v>
      </c>
      <c r="F4" s="13" t="s">
        <v>12</v>
      </c>
      <c r="G4" s="4" t="s">
        <v>5</v>
      </c>
      <c r="H4" s="4" t="s">
        <v>1</v>
      </c>
      <c r="I4" s="33" t="s">
        <v>0</v>
      </c>
      <c r="J4" s="33" t="s">
        <v>1</v>
      </c>
      <c r="K4" s="124"/>
    </row>
    <row r="5" spans="2:11" ht="15.75" thickTop="1" x14ac:dyDescent="0.25">
      <c r="B5" s="117" t="s">
        <v>4</v>
      </c>
      <c r="C5" s="9" t="s">
        <v>52</v>
      </c>
      <c r="D5" s="35" t="s">
        <v>22</v>
      </c>
      <c r="E5" s="70">
        <v>420</v>
      </c>
      <c r="F5" s="8" t="s">
        <v>27</v>
      </c>
      <c r="G5" s="7">
        <v>24</v>
      </c>
      <c r="H5" s="72">
        <f>G5*60</f>
        <v>1440</v>
      </c>
      <c r="I5" s="19"/>
      <c r="J5" s="19"/>
      <c r="K5" s="23" t="s">
        <v>9</v>
      </c>
    </row>
    <row r="6" spans="2:11" x14ac:dyDescent="0.25">
      <c r="B6" s="118"/>
      <c r="C6" s="16" t="s">
        <v>51</v>
      </c>
      <c r="D6" s="36" t="s">
        <v>22</v>
      </c>
      <c r="E6" s="71">
        <v>420</v>
      </c>
      <c r="F6" s="14" t="s">
        <v>27</v>
      </c>
      <c r="G6" s="15">
        <v>24</v>
      </c>
      <c r="H6" s="76">
        <f>G6*60</f>
        <v>1440</v>
      </c>
      <c r="I6" s="20"/>
      <c r="J6" s="20"/>
      <c r="K6" s="24" t="s">
        <v>9</v>
      </c>
    </row>
    <row r="7" spans="2:11" x14ac:dyDescent="0.25">
      <c r="B7" s="118"/>
      <c r="C7" s="10" t="s">
        <v>53</v>
      </c>
      <c r="D7" s="36" t="s">
        <v>23</v>
      </c>
      <c r="E7" s="72">
        <v>210</v>
      </c>
      <c r="F7" s="14" t="s">
        <v>32</v>
      </c>
      <c r="G7" s="3">
        <v>6</v>
      </c>
      <c r="H7" s="76">
        <f>G7*40</f>
        <v>240</v>
      </c>
      <c r="I7" s="21"/>
      <c r="J7" s="21"/>
      <c r="K7" s="25" t="s">
        <v>10</v>
      </c>
    </row>
    <row r="8" spans="2:11" x14ac:dyDescent="0.25">
      <c r="B8" s="118"/>
      <c r="C8" s="10" t="s">
        <v>7</v>
      </c>
      <c r="D8" s="36" t="s">
        <v>23</v>
      </c>
      <c r="E8" s="71">
        <v>210</v>
      </c>
      <c r="F8" s="102" t="s">
        <v>28</v>
      </c>
      <c r="G8" s="15">
        <v>6</v>
      </c>
      <c r="H8" s="75">
        <f>G8*40</f>
        <v>240</v>
      </c>
      <c r="I8" s="21"/>
      <c r="J8" s="21"/>
      <c r="K8" s="25" t="s">
        <v>10</v>
      </c>
    </row>
    <row r="9" spans="2:11" x14ac:dyDescent="0.25">
      <c r="B9" s="119"/>
      <c r="C9" s="104" t="s">
        <v>122</v>
      </c>
      <c r="D9" s="1" t="s">
        <v>24</v>
      </c>
      <c r="E9" s="78">
        <v>100</v>
      </c>
      <c r="F9" s="104" t="s">
        <v>28</v>
      </c>
      <c r="G9" s="1">
        <v>3</v>
      </c>
      <c r="H9" s="78">
        <f t="shared" ref="H9:H10" si="0">G9*40</f>
        <v>120</v>
      </c>
      <c r="I9" s="101"/>
      <c r="J9" s="20"/>
      <c r="K9" s="26"/>
    </row>
    <row r="10" spans="2:11" x14ac:dyDescent="0.25">
      <c r="B10" s="119"/>
      <c r="C10" s="104" t="s">
        <v>123</v>
      </c>
      <c r="D10" s="1" t="s">
        <v>23</v>
      </c>
      <c r="E10" s="78">
        <v>120</v>
      </c>
      <c r="F10" s="104" t="s">
        <v>28</v>
      </c>
      <c r="G10" s="1">
        <v>3</v>
      </c>
      <c r="H10" s="78">
        <f t="shared" si="0"/>
        <v>120</v>
      </c>
      <c r="I10" s="101"/>
      <c r="J10" s="20"/>
      <c r="K10" s="26"/>
    </row>
    <row r="11" spans="2:11" ht="15.75" thickBot="1" x14ac:dyDescent="0.3">
      <c r="B11" s="120"/>
      <c r="C11" s="17" t="s">
        <v>70</v>
      </c>
      <c r="D11" s="18" t="s">
        <v>25</v>
      </c>
      <c r="E11" s="73">
        <v>0</v>
      </c>
      <c r="F11" s="103" t="s">
        <v>28</v>
      </c>
      <c r="G11" s="18">
        <v>4</v>
      </c>
      <c r="H11" s="73">
        <f t="shared" ref="H11" si="1">G11*40</f>
        <v>160</v>
      </c>
      <c r="I11" s="22"/>
      <c r="J11" s="22"/>
      <c r="K11" s="69" t="s">
        <v>11</v>
      </c>
    </row>
    <row r="12" spans="2:11" x14ac:dyDescent="0.25">
      <c r="B12" s="129" t="s">
        <v>65</v>
      </c>
      <c r="C12" s="80" t="s">
        <v>127</v>
      </c>
      <c r="D12" s="38" t="s">
        <v>69</v>
      </c>
      <c r="E12" s="81">
        <f>50*12*15</f>
        <v>9000</v>
      </c>
      <c r="F12" s="82"/>
      <c r="G12" s="83">
        <v>12</v>
      </c>
      <c r="H12" s="84">
        <f>G12*60</f>
        <v>720</v>
      </c>
      <c r="I12" s="80" t="s">
        <v>114</v>
      </c>
      <c r="J12" s="100">
        <v>14285</v>
      </c>
      <c r="K12" s="85" t="s">
        <v>68</v>
      </c>
    </row>
    <row r="13" spans="2:11" ht="15.75" thickBot="1" x14ac:dyDescent="0.3">
      <c r="B13" s="120"/>
      <c r="C13" s="17" t="s">
        <v>115</v>
      </c>
      <c r="D13" s="94"/>
      <c r="E13" s="73"/>
      <c r="F13" s="86"/>
      <c r="G13" s="18"/>
      <c r="H13" s="73"/>
      <c r="I13" s="87" t="s">
        <v>116</v>
      </c>
      <c r="J13" s="99">
        <v>9500</v>
      </c>
      <c r="K13" s="88"/>
    </row>
    <row r="14" spans="2:11" x14ac:dyDescent="0.25">
      <c r="B14" s="118" t="s">
        <v>66</v>
      </c>
      <c r="C14" s="65" t="s">
        <v>105</v>
      </c>
      <c r="D14" s="38" t="s">
        <v>25</v>
      </c>
      <c r="E14" s="71">
        <v>0</v>
      </c>
      <c r="F14" s="66"/>
      <c r="G14" s="93">
        <f>Electrical!K4+Electrical!K5+Electrical!K17+Electrical!K25</f>
        <v>17.838000000000001</v>
      </c>
      <c r="H14" s="71">
        <f>G14*60.5</f>
        <v>1079.1990000000001</v>
      </c>
      <c r="I14" s="67" t="s">
        <v>108</v>
      </c>
      <c r="J14" s="78">
        <f>Electrical!I4+Electrical!I5+Electrical!I17+Electrical!I25</f>
        <v>3863.73</v>
      </c>
      <c r="K14" s="68"/>
    </row>
    <row r="15" spans="2:11" x14ac:dyDescent="0.25">
      <c r="B15" s="118"/>
      <c r="C15" s="65" t="s">
        <v>85</v>
      </c>
      <c r="D15" s="43" t="s">
        <v>26</v>
      </c>
      <c r="E15" s="71">
        <v>200</v>
      </c>
      <c r="F15" s="66"/>
      <c r="G15" s="93">
        <f>Electrical!K8+Electrical!K9+Electrical!K19+Electrical!K27</f>
        <v>83.905000000000001</v>
      </c>
      <c r="H15" s="71">
        <f t="shared" ref="H15:H18" si="2">G15*60.5</f>
        <v>5076.2525000000005</v>
      </c>
      <c r="I15" s="67" t="s">
        <v>108</v>
      </c>
      <c r="J15" s="78">
        <f>Electrical!I8+Electrical!I9+Electrical!I19+Electrical!I27</f>
        <v>9831.5062500000004</v>
      </c>
      <c r="K15" s="68"/>
    </row>
    <row r="16" spans="2:11" x14ac:dyDescent="0.25">
      <c r="B16" s="118"/>
      <c r="C16" s="65" t="s">
        <v>86</v>
      </c>
      <c r="D16" s="43" t="s">
        <v>26</v>
      </c>
      <c r="E16" s="71">
        <v>200</v>
      </c>
      <c r="F16" s="66"/>
      <c r="G16" s="93">
        <f>Electrical!K10+Electrical!K11+Electrical!K20+Electrical!K28</f>
        <v>55.662400000000005</v>
      </c>
      <c r="H16" s="71">
        <f t="shared" si="2"/>
        <v>3367.5752000000002</v>
      </c>
      <c r="I16" s="67" t="s">
        <v>108</v>
      </c>
      <c r="J16" s="78">
        <f>Electrical!I10+Electrical!I11+Electrical!I20+Electrical!I28</f>
        <v>2858.9325000000003</v>
      </c>
      <c r="K16" s="68"/>
    </row>
    <row r="17" spans="2:13" x14ac:dyDescent="0.25">
      <c r="B17" s="118"/>
      <c r="C17" s="65" t="s">
        <v>84</v>
      </c>
      <c r="D17" s="43" t="s">
        <v>26</v>
      </c>
      <c r="E17" s="71">
        <v>200</v>
      </c>
      <c r="F17" s="66"/>
      <c r="G17" s="93">
        <f>Electrical!K6+Electrical!K7+Electrical!K18+Electrical!K26</f>
        <v>34.634799999999998</v>
      </c>
      <c r="H17" s="71">
        <f t="shared" si="2"/>
        <v>2095.4054000000001</v>
      </c>
      <c r="I17" s="67" t="s">
        <v>108</v>
      </c>
      <c r="J17" s="78">
        <f>Electrical!I6+Electrical!I7+Electrical!I18+Electrical!I26</f>
        <v>2070.1950000000002</v>
      </c>
      <c r="K17" s="68"/>
    </row>
    <row r="18" spans="2:13" ht="15.75" thickBot="1" x14ac:dyDescent="0.3">
      <c r="B18" s="120"/>
      <c r="C18" s="17" t="s">
        <v>106</v>
      </c>
      <c r="D18" s="38" t="s">
        <v>25</v>
      </c>
      <c r="E18" s="71">
        <v>0</v>
      </c>
      <c r="F18" s="66"/>
      <c r="G18" s="93">
        <f>Electrical!K2+Electrical!K3+Electrical!K16+Electrical!K24</f>
        <v>17.3</v>
      </c>
      <c r="H18" s="71">
        <f t="shared" si="2"/>
        <v>1046.6500000000001</v>
      </c>
      <c r="I18" s="67" t="s">
        <v>108</v>
      </c>
      <c r="J18" s="71">
        <f>Electrical!I2+Electrical!I3+Electrical!I16+Electrical!I24</f>
        <v>1657.05</v>
      </c>
      <c r="K18" s="26"/>
      <c r="M18" s="78">
        <f>SUM(E14:E18)+SUM(H14:H18)+SUM(J14:J18)</f>
        <v>33546.495849999999</v>
      </c>
    </row>
    <row r="19" spans="2:13" ht="30" x14ac:dyDescent="0.25">
      <c r="B19" s="127" t="s">
        <v>8</v>
      </c>
      <c r="C19" s="95" t="s">
        <v>71</v>
      </c>
      <c r="D19" s="37" t="s">
        <v>69</v>
      </c>
      <c r="E19" s="74">
        <f>50*6*10</f>
        <v>3000</v>
      </c>
      <c r="F19" s="28" t="s">
        <v>28</v>
      </c>
      <c r="G19" s="29">
        <v>20</v>
      </c>
      <c r="H19" s="74">
        <f>G19*50</f>
        <v>1000</v>
      </c>
      <c r="I19" s="63" t="s">
        <v>124</v>
      </c>
      <c r="J19" s="96">
        <v>19200</v>
      </c>
      <c r="K19" s="45" t="s">
        <v>111</v>
      </c>
    </row>
    <row r="20" spans="2:13" ht="30" x14ac:dyDescent="0.25">
      <c r="B20" s="118"/>
      <c r="C20" s="11" t="s">
        <v>72</v>
      </c>
      <c r="D20" s="38" t="s">
        <v>69</v>
      </c>
      <c r="E20" s="72">
        <f>50*6*10</f>
        <v>3000</v>
      </c>
      <c r="F20" s="6" t="s">
        <v>28</v>
      </c>
      <c r="G20" s="3">
        <v>20</v>
      </c>
      <c r="H20" s="72">
        <f>G20*50</f>
        <v>1000</v>
      </c>
      <c r="I20" s="64" t="s">
        <v>124</v>
      </c>
      <c r="J20" s="97">
        <v>19200</v>
      </c>
      <c r="K20" s="46" t="s">
        <v>111</v>
      </c>
    </row>
    <row r="21" spans="2:13" x14ac:dyDescent="0.25">
      <c r="B21" s="118"/>
      <c r="C21" s="40" t="s">
        <v>110</v>
      </c>
      <c r="D21" s="38" t="s">
        <v>22</v>
      </c>
      <c r="E21" s="72">
        <v>210</v>
      </c>
      <c r="F21" s="6" t="s">
        <v>27</v>
      </c>
      <c r="G21" s="3">
        <v>18</v>
      </c>
      <c r="H21" s="72">
        <f>G21*55</f>
        <v>990</v>
      </c>
      <c r="I21" s="2" t="s">
        <v>128</v>
      </c>
      <c r="J21" s="72">
        <v>7050</v>
      </c>
      <c r="K21" s="27" t="s">
        <v>112</v>
      </c>
    </row>
    <row r="22" spans="2:13" x14ac:dyDescent="0.25">
      <c r="B22" s="118"/>
      <c r="C22" s="40" t="s">
        <v>109</v>
      </c>
      <c r="D22" s="38" t="s">
        <v>22</v>
      </c>
      <c r="E22" s="72">
        <v>210</v>
      </c>
      <c r="F22" s="6" t="s">
        <v>27</v>
      </c>
      <c r="G22" s="3">
        <v>18</v>
      </c>
      <c r="H22" s="72">
        <f>G22*55</f>
        <v>990</v>
      </c>
      <c r="I22" s="2" t="s">
        <v>128</v>
      </c>
      <c r="J22" s="72">
        <v>7050</v>
      </c>
      <c r="K22" s="27" t="s">
        <v>112</v>
      </c>
    </row>
    <row r="23" spans="2:13" x14ac:dyDescent="0.25">
      <c r="B23" s="118"/>
      <c r="C23" s="40" t="s">
        <v>63</v>
      </c>
      <c r="D23" s="38" t="s">
        <v>22</v>
      </c>
      <c r="E23" s="71">
        <v>210</v>
      </c>
      <c r="F23" s="42" t="s">
        <v>28</v>
      </c>
      <c r="G23" s="15">
        <v>4</v>
      </c>
      <c r="H23" s="71">
        <f>G23*55</f>
        <v>220</v>
      </c>
      <c r="I23" s="41" t="s">
        <v>129</v>
      </c>
      <c r="J23" s="71">
        <f>2240*0.25</f>
        <v>560</v>
      </c>
      <c r="K23" s="24" t="s">
        <v>44</v>
      </c>
    </row>
    <row r="24" spans="2:13" x14ac:dyDescent="0.25">
      <c r="B24" s="118"/>
      <c r="C24" s="10" t="s">
        <v>45</v>
      </c>
      <c r="D24" s="38" t="s">
        <v>22</v>
      </c>
      <c r="E24" s="75">
        <v>210</v>
      </c>
      <c r="F24" s="42" t="s">
        <v>28</v>
      </c>
      <c r="G24" s="41">
        <v>16</v>
      </c>
      <c r="H24" s="75">
        <f>G24*60</f>
        <v>960</v>
      </c>
      <c r="I24" s="41" t="s">
        <v>46</v>
      </c>
      <c r="J24" s="75">
        <v>820</v>
      </c>
      <c r="K24" s="24" t="s">
        <v>33</v>
      </c>
    </row>
    <row r="25" spans="2:13" x14ac:dyDescent="0.25">
      <c r="B25" s="118"/>
      <c r="C25" s="10" t="s">
        <v>125</v>
      </c>
      <c r="D25" s="43" t="s">
        <v>26</v>
      </c>
      <c r="E25" s="75">
        <v>200</v>
      </c>
      <c r="F25" s="42" t="s">
        <v>28</v>
      </c>
      <c r="G25" s="41">
        <v>40</v>
      </c>
      <c r="H25" s="75">
        <v>1600</v>
      </c>
      <c r="I25" s="41" t="s">
        <v>67</v>
      </c>
      <c r="J25" s="41">
        <v>300</v>
      </c>
      <c r="K25" s="24" t="s">
        <v>48</v>
      </c>
    </row>
    <row r="26" spans="2:13" x14ac:dyDescent="0.25">
      <c r="B26" s="118"/>
      <c r="C26" s="10" t="s">
        <v>125</v>
      </c>
      <c r="D26" s="43" t="s">
        <v>26</v>
      </c>
      <c r="E26" s="75">
        <v>200</v>
      </c>
      <c r="F26" s="42" t="s">
        <v>28</v>
      </c>
      <c r="G26" s="41">
        <v>40</v>
      </c>
      <c r="H26" s="75">
        <v>1600</v>
      </c>
      <c r="I26" s="41" t="s">
        <v>67</v>
      </c>
      <c r="J26" s="41">
        <v>300</v>
      </c>
      <c r="K26" s="24" t="s">
        <v>48</v>
      </c>
    </row>
    <row r="27" spans="2:13" x14ac:dyDescent="0.25">
      <c r="B27" s="118"/>
      <c r="C27" s="12" t="s">
        <v>118</v>
      </c>
      <c r="D27" s="39" t="s">
        <v>24</v>
      </c>
      <c r="E27" s="76">
        <v>100</v>
      </c>
      <c r="F27" s="6" t="s">
        <v>28</v>
      </c>
      <c r="G27" s="2">
        <v>12</v>
      </c>
      <c r="H27" s="72">
        <f t="shared" ref="H27:H38" si="3">G27*50</f>
        <v>600</v>
      </c>
      <c r="I27" s="2" t="s">
        <v>126</v>
      </c>
      <c r="J27" s="98">
        <v>4500</v>
      </c>
      <c r="K27" s="27" t="s">
        <v>29</v>
      </c>
    </row>
    <row r="28" spans="2:13" x14ac:dyDescent="0.25">
      <c r="B28" s="118"/>
      <c r="C28" s="12" t="s">
        <v>119</v>
      </c>
      <c r="D28" s="39" t="s">
        <v>24</v>
      </c>
      <c r="E28" s="76">
        <v>100</v>
      </c>
      <c r="F28" s="6" t="s">
        <v>28</v>
      </c>
      <c r="G28" s="2">
        <v>12</v>
      </c>
      <c r="H28" s="72">
        <f t="shared" si="3"/>
        <v>600</v>
      </c>
      <c r="I28" s="2" t="s">
        <v>126</v>
      </c>
      <c r="J28" s="98">
        <v>4500</v>
      </c>
      <c r="K28" s="27" t="s">
        <v>29</v>
      </c>
    </row>
    <row r="29" spans="2:13" x14ac:dyDescent="0.25">
      <c r="B29" s="118"/>
      <c r="C29" s="10" t="s">
        <v>120</v>
      </c>
      <c r="D29" s="43" t="s">
        <v>26</v>
      </c>
      <c r="E29" s="75">
        <v>200</v>
      </c>
      <c r="F29" s="42" t="s">
        <v>28</v>
      </c>
      <c r="G29" s="41">
        <v>40</v>
      </c>
      <c r="H29" s="75">
        <f t="shared" si="3"/>
        <v>2000</v>
      </c>
      <c r="I29" s="41" t="s">
        <v>47</v>
      </c>
      <c r="J29" s="75">
        <v>300</v>
      </c>
      <c r="K29" s="24" t="s">
        <v>48</v>
      </c>
    </row>
    <row r="30" spans="2:13" x14ac:dyDescent="0.25">
      <c r="B30" s="118"/>
      <c r="C30" s="10" t="s">
        <v>120</v>
      </c>
      <c r="D30" s="43" t="s">
        <v>26</v>
      </c>
      <c r="E30" s="75">
        <v>200</v>
      </c>
      <c r="F30" s="42" t="s">
        <v>28</v>
      </c>
      <c r="G30" s="41">
        <v>40</v>
      </c>
      <c r="H30" s="75">
        <f t="shared" si="3"/>
        <v>2000</v>
      </c>
      <c r="I30" s="41" t="s">
        <v>47</v>
      </c>
      <c r="J30" s="75">
        <v>300</v>
      </c>
      <c r="K30" s="24" t="s">
        <v>48</v>
      </c>
    </row>
    <row r="31" spans="2:13" x14ac:dyDescent="0.25">
      <c r="B31" s="118"/>
      <c r="C31" s="10" t="s">
        <v>64</v>
      </c>
      <c r="D31" s="43" t="s">
        <v>25</v>
      </c>
      <c r="E31" s="75">
        <v>0</v>
      </c>
      <c r="F31" s="42" t="s">
        <v>28</v>
      </c>
      <c r="G31" s="41">
        <v>12</v>
      </c>
      <c r="H31" s="75">
        <f t="shared" si="3"/>
        <v>600</v>
      </c>
      <c r="I31" s="41" t="s">
        <v>57</v>
      </c>
      <c r="J31" s="75">
        <v>420</v>
      </c>
      <c r="K31" s="24" t="s">
        <v>58</v>
      </c>
    </row>
    <row r="32" spans="2:13" x14ac:dyDescent="0.25">
      <c r="B32" s="118"/>
      <c r="C32" s="10" t="s">
        <v>64</v>
      </c>
      <c r="D32" s="43" t="s">
        <v>25</v>
      </c>
      <c r="E32" s="75">
        <v>0</v>
      </c>
      <c r="F32" s="42" t="s">
        <v>28</v>
      </c>
      <c r="G32" s="41">
        <v>12</v>
      </c>
      <c r="H32" s="75">
        <f t="shared" si="3"/>
        <v>600</v>
      </c>
      <c r="I32" s="41" t="s">
        <v>57</v>
      </c>
      <c r="J32" s="75">
        <v>420</v>
      </c>
      <c r="K32" s="24" t="s">
        <v>58</v>
      </c>
    </row>
    <row r="33" spans="2:11" x14ac:dyDescent="0.25">
      <c r="B33" s="118"/>
      <c r="C33" s="10" t="s">
        <v>121</v>
      </c>
      <c r="D33" s="43" t="s">
        <v>25</v>
      </c>
      <c r="E33" s="75">
        <v>0</v>
      </c>
      <c r="F33" s="42" t="s">
        <v>37</v>
      </c>
      <c r="G33" s="41">
        <v>8</v>
      </c>
      <c r="H33" s="75">
        <f t="shared" si="3"/>
        <v>400</v>
      </c>
      <c r="I33" s="41" t="s">
        <v>38</v>
      </c>
      <c r="J33" s="75">
        <f>260*1.5</f>
        <v>390</v>
      </c>
      <c r="K33" s="24" t="s">
        <v>49</v>
      </c>
    </row>
    <row r="34" spans="2:11" x14ac:dyDescent="0.25">
      <c r="B34" s="118"/>
      <c r="C34" s="10" t="s">
        <v>121</v>
      </c>
      <c r="D34" s="43" t="s">
        <v>25</v>
      </c>
      <c r="E34" s="75">
        <v>0</v>
      </c>
      <c r="F34" s="42" t="s">
        <v>37</v>
      </c>
      <c r="G34" s="41">
        <v>8</v>
      </c>
      <c r="H34" s="75">
        <f t="shared" si="3"/>
        <v>400</v>
      </c>
      <c r="I34" s="41" t="s">
        <v>38</v>
      </c>
      <c r="J34" s="75">
        <f>260*1.5</f>
        <v>390</v>
      </c>
      <c r="K34" s="24" t="s">
        <v>49</v>
      </c>
    </row>
    <row r="35" spans="2:11" x14ac:dyDescent="0.25">
      <c r="B35" s="118"/>
      <c r="C35" s="10" t="s">
        <v>42</v>
      </c>
      <c r="D35" s="43" t="s">
        <v>25</v>
      </c>
      <c r="E35" s="75">
        <v>0</v>
      </c>
      <c r="F35" s="42" t="s">
        <v>28</v>
      </c>
      <c r="G35" s="41">
        <v>24</v>
      </c>
      <c r="H35" s="75">
        <f t="shared" si="3"/>
        <v>1200</v>
      </c>
      <c r="I35" s="41" t="s">
        <v>39</v>
      </c>
      <c r="J35" s="75">
        <f>3100*1.5</f>
        <v>4650</v>
      </c>
      <c r="K35" s="24" t="s">
        <v>41</v>
      </c>
    </row>
    <row r="36" spans="2:11" x14ac:dyDescent="0.25">
      <c r="B36" s="118"/>
      <c r="C36" s="10" t="s">
        <v>43</v>
      </c>
      <c r="D36" s="43" t="s">
        <v>25</v>
      </c>
      <c r="E36" s="75">
        <v>0</v>
      </c>
      <c r="F36" s="42" t="s">
        <v>28</v>
      </c>
      <c r="G36" s="41">
        <v>16</v>
      </c>
      <c r="H36" s="75">
        <f t="shared" si="3"/>
        <v>800</v>
      </c>
      <c r="I36" s="41" t="s">
        <v>40</v>
      </c>
      <c r="J36" s="75">
        <f>1800*1.5</f>
        <v>2700</v>
      </c>
      <c r="K36" s="24" t="s">
        <v>50</v>
      </c>
    </row>
    <row r="37" spans="2:11" ht="30" x14ac:dyDescent="0.25">
      <c r="B37" s="118"/>
      <c r="C37" s="40" t="s">
        <v>13</v>
      </c>
      <c r="D37" s="58" t="s">
        <v>25</v>
      </c>
      <c r="E37" s="75">
        <v>0</v>
      </c>
      <c r="F37" s="59" t="s">
        <v>56</v>
      </c>
      <c r="G37" s="41">
        <v>16</v>
      </c>
      <c r="H37" s="75">
        <f t="shared" si="3"/>
        <v>800</v>
      </c>
      <c r="I37" s="41" t="s">
        <v>19</v>
      </c>
      <c r="J37" s="75">
        <v>650</v>
      </c>
      <c r="K37" s="24" t="s">
        <v>30</v>
      </c>
    </row>
    <row r="38" spans="2:11" ht="15.75" thickBot="1" x14ac:dyDescent="0.3">
      <c r="B38" s="128"/>
      <c r="C38" s="60" t="s">
        <v>60</v>
      </c>
      <c r="D38" s="44" t="s">
        <v>25</v>
      </c>
      <c r="E38" s="77">
        <v>0</v>
      </c>
      <c r="F38" s="57" t="s">
        <v>37</v>
      </c>
      <c r="G38" s="57">
        <v>6</v>
      </c>
      <c r="H38" s="79">
        <f t="shared" si="3"/>
        <v>300</v>
      </c>
      <c r="I38" s="61" t="s">
        <v>61</v>
      </c>
      <c r="J38" s="61">
        <v>0</v>
      </c>
      <c r="K38" s="62" t="s">
        <v>62</v>
      </c>
    </row>
    <row r="39" spans="2:11" ht="15.75" thickTop="1" x14ac:dyDescent="0.25">
      <c r="C39" s="114" t="s">
        <v>34</v>
      </c>
      <c r="D39" s="105"/>
      <c r="E39" s="78">
        <f>SUM(E5:E38)</f>
        <v>18920</v>
      </c>
      <c r="G39" s="32" t="s">
        <v>35</v>
      </c>
      <c r="H39" s="78">
        <f>SUM(H5:H38)</f>
        <v>35805.0821</v>
      </c>
      <c r="I39" s="32" t="s">
        <v>36</v>
      </c>
      <c r="J39" s="78">
        <f>SUM(J12:J38)</f>
        <v>117766.41375000001</v>
      </c>
    </row>
    <row r="40" spans="2:11" x14ac:dyDescent="0.25">
      <c r="C40" s="32"/>
      <c r="D40" s="32"/>
      <c r="E40" s="30"/>
      <c r="G40" s="32"/>
      <c r="H40" s="30"/>
      <c r="I40" s="32"/>
      <c r="J40" s="30"/>
    </row>
    <row r="41" spans="2:11" ht="15.75" thickBot="1" x14ac:dyDescent="0.3">
      <c r="E41" s="5"/>
      <c r="G41" s="5"/>
      <c r="H41" s="5"/>
      <c r="I41" s="5"/>
    </row>
    <row r="42" spans="2:11" x14ac:dyDescent="0.25">
      <c r="G42" s="5"/>
      <c r="H42" s="5"/>
      <c r="I42" s="47" t="s">
        <v>20</v>
      </c>
      <c r="J42" s="50">
        <f>H39+J39+E39</f>
        <v>172491.49585000001</v>
      </c>
      <c r="K42" s="53" t="s">
        <v>18</v>
      </c>
    </row>
    <row r="43" spans="2:11" x14ac:dyDescent="0.25">
      <c r="G43" s="5"/>
      <c r="H43" s="5"/>
      <c r="I43" s="48" t="s">
        <v>54</v>
      </c>
      <c r="J43" s="51">
        <v>5000</v>
      </c>
      <c r="K43" s="53"/>
    </row>
    <row r="44" spans="2:11" x14ac:dyDescent="0.25">
      <c r="G44" s="5"/>
      <c r="H44" s="5"/>
      <c r="I44" s="48" t="s">
        <v>55</v>
      </c>
      <c r="J44" s="51">
        <v>3000</v>
      </c>
      <c r="K44" s="53"/>
    </row>
    <row r="45" spans="2:11" x14ac:dyDescent="0.25">
      <c r="G45" s="5"/>
      <c r="H45" s="5"/>
      <c r="I45" s="48" t="s">
        <v>59</v>
      </c>
      <c r="J45" s="51">
        <v>630</v>
      </c>
      <c r="K45" s="53"/>
    </row>
    <row r="46" spans="2:11" x14ac:dyDescent="0.25">
      <c r="G46" s="5"/>
      <c r="H46" s="5"/>
      <c r="I46" s="48" t="s">
        <v>113</v>
      </c>
      <c r="J46" s="51">
        <f>J42*0.2</f>
        <v>34498.299170000006</v>
      </c>
      <c r="K46" s="54"/>
    </row>
    <row r="47" spans="2:11" x14ac:dyDescent="0.25">
      <c r="E47" s="5"/>
      <c r="G47" s="5"/>
      <c r="H47" s="5"/>
      <c r="I47" s="48" t="s">
        <v>31</v>
      </c>
      <c r="J47" s="51">
        <f>J42*0.03</f>
        <v>5174.7448754999996</v>
      </c>
      <c r="K47" s="54"/>
    </row>
    <row r="48" spans="2:11" x14ac:dyDescent="0.25">
      <c r="E48" s="5"/>
      <c r="H48" s="5"/>
      <c r="I48" s="48" t="s">
        <v>15</v>
      </c>
      <c r="J48" s="51">
        <f>J47</f>
        <v>5174.7448754999996</v>
      </c>
      <c r="K48" s="54"/>
    </row>
    <row r="49" spans="5:16" ht="15.75" thickBot="1" x14ac:dyDescent="0.3">
      <c r="E49" s="5"/>
      <c r="H49" s="5"/>
      <c r="I49" s="49" t="s">
        <v>16</v>
      </c>
      <c r="J49" s="52">
        <f>J42*0.09</f>
        <v>15524.2346265</v>
      </c>
      <c r="K49" s="54"/>
    </row>
    <row r="50" spans="5:16" ht="15.75" thickBot="1" x14ac:dyDescent="0.3">
      <c r="E50" s="5"/>
      <c r="I50" s="55" t="s">
        <v>17</v>
      </c>
      <c r="J50" s="56">
        <f>SUM(J42:J49)</f>
        <v>241493.51939750003</v>
      </c>
    </row>
    <row r="51" spans="5:16" x14ac:dyDescent="0.25">
      <c r="N51" s="105"/>
      <c r="O51" s="105"/>
      <c r="P51" s="30"/>
    </row>
    <row r="52" spans="5:16" x14ac:dyDescent="0.25">
      <c r="N52" s="105"/>
      <c r="O52" s="105"/>
    </row>
    <row r="53" spans="5:16" x14ac:dyDescent="0.25">
      <c r="N53" s="105"/>
      <c r="O53" s="105"/>
      <c r="P53" s="31"/>
    </row>
    <row r="54" spans="5:16" x14ac:dyDescent="0.25">
      <c r="N54" s="5"/>
      <c r="O54" s="5"/>
      <c r="P54" s="31"/>
    </row>
    <row r="55" spans="5:16" x14ac:dyDescent="0.25">
      <c r="N55" s="5"/>
      <c r="O55" s="5"/>
      <c r="P55" s="31"/>
    </row>
    <row r="56" spans="5:16" x14ac:dyDescent="0.25">
      <c r="N56" s="5"/>
      <c r="O56" s="5"/>
      <c r="P56" s="31"/>
    </row>
    <row r="57" spans="5:16" x14ac:dyDescent="0.25">
      <c r="O57" s="5"/>
      <c r="P57" s="30"/>
    </row>
  </sheetData>
  <mergeCells count="15">
    <mergeCell ref="N51:O51"/>
    <mergeCell ref="N52:O52"/>
    <mergeCell ref="N53:O53"/>
    <mergeCell ref="B2:K2"/>
    <mergeCell ref="F3:H3"/>
    <mergeCell ref="D3:E3"/>
    <mergeCell ref="C39:D39"/>
    <mergeCell ref="C3:C4"/>
    <mergeCell ref="B5:B11"/>
    <mergeCell ref="B3:B4"/>
    <mergeCell ref="K3:K4"/>
    <mergeCell ref="I3:J3"/>
    <mergeCell ref="B19:B38"/>
    <mergeCell ref="B12:B13"/>
    <mergeCell ref="B14:B18"/>
  </mergeCells>
  <phoneticPr fontId="2" type="noConversion"/>
  <pageMargins left="0.7" right="0.7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opLeftCell="A3" workbookViewId="0">
      <selection activeCell="I29" sqref="I29"/>
    </sheetView>
  </sheetViews>
  <sheetFormatPr defaultRowHeight="15" x14ac:dyDescent="0.25"/>
  <cols>
    <col min="5" max="5" width="16.5703125" customWidth="1"/>
    <col min="6" max="6" width="12.5703125" customWidth="1"/>
    <col min="13" max="13" width="11.28515625" bestFit="1" customWidth="1"/>
  </cols>
  <sheetData>
    <row r="1" spans="1:13" ht="15.75" x14ac:dyDescent="0.25">
      <c r="C1" s="89" t="s">
        <v>81</v>
      </c>
      <c r="D1" s="89" t="s">
        <v>75</v>
      </c>
      <c r="E1" s="89" t="s">
        <v>74</v>
      </c>
      <c r="F1" s="89" t="s">
        <v>94</v>
      </c>
      <c r="G1" s="89" t="s">
        <v>93</v>
      </c>
      <c r="H1" s="89"/>
      <c r="I1" s="89" t="s">
        <v>97</v>
      </c>
      <c r="J1" s="89"/>
      <c r="K1" s="89" t="s">
        <v>107</v>
      </c>
      <c r="L1" s="89"/>
      <c r="M1" s="89"/>
    </row>
    <row r="2" spans="1:13" ht="15.75" x14ac:dyDescent="0.25">
      <c r="A2" t="s">
        <v>82</v>
      </c>
      <c r="B2" t="s">
        <v>73</v>
      </c>
      <c r="C2" s="90" t="s">
        <v>76</v>
      </c>
      <c r="D2" s="89">
        <f>100*4</f>
        <v>400</v>
      </c>
      <c r="E2" s="91">
        <v>1.2</v>
      </c>
      <c r="F2" s="91">
        <f>54.5*1.5</f>
        <v>81.75</v>
      </c>
      <c r="G2" s="91">
        <v>60.5</v>
      </c>
      <c r="H2" s="91"/>
      <c r="I2" s="91">
        <f>(D2/100)*F2*0.15</f>
        <v>49.05</v>
      </c>
      <c r="J2" s="91"/>
      <c r="K2" s="91">
        <f>(E2*(D2/100))</f>
        <v>4.8</v>
      </c>
      <c r="L2" s="89"/>
      <c r="M2" s="92">
        <f>I2+I3+I16+I24+(G2*(K2+K3+K16+K24))</f>
        <v>2703.7</v>
      </c>
    </row>
    <row r="3" spans="1:13" ht="15.75" x14ac:dyDescent="0.25">
      <c r="A3" t="s">
        <v>82</v>
      </c>
      <c r="B3" s="90" t="s">
        <v>78</v>
      </c>
      <c r="C3" s="90" t="s">
        <v>79</v>
      </c>
      <c r="D3" s="89">
        <f>100</f>
        <v>100</v>
      </c>
      <c r="E3" s="91">
        <v>0.1</v>
      </c>
      <c r="F3" s="91">
        <f>4.38*1.5</f>
        <v>6.57</v>
      </c>
      <c r="G3" s="91">
        <v>60.5</v>
      </c>
      <c r="H3" s="91"/>
      <c r="I3" s="91">
        <f>D3*F3*1.5</f>
        <v>985.5</v>
      </c>
      <c r="J3" s="91"/>
      <c r="K3" s="91">
        <f>(E3*D3)</f>
        <v>10</v>
      </c>
      <c r="L3" s="89"/>
      <c r="M3" s="92"/>
    </row>
    <row r="4" spans="1:13" ht="15.75" x14ac:dyDescent="0.25">
      <c r="A4" t="s">
        <v>83</v>
      </c>
      <c r="B4" t="s">
        <v>73</v>
      </c>
      <c r="C4" s="90" t="s">
        <v>77</v>
      </c>
      <c r="D4" s="89">
        <f>40*5</f>
        <v>200</v>
      </c>
      <c r="E4" s="91">
        <v>2.7589999999999999</v>
      </c>
      <c r="F4" s="91">
        <f>265*1.5</f>
        <v>397.5</v>
      </c>
      <c r="G4" s="91">
        <v>60.5</v>
      </c>
      <c r="H4" s="91"/>
      <c r="I4" s="91">
        <f t="shared" ref="I4:I11" si="0">(D4/100)*F4*1.5</f>
        <v>1192.5</v>
      </c>
      <c r="J4" s="91"/>
      <c r="K4" s="91">
        <f>(E4*(D4/100))</f>
        <v>5.5179999999999998</v>
      </c>
      <c r="L4" s="89"/>
      <c r="M4" s="92">
        <f>I4+I5+I17+I25+(G2*(K4+K5+K17+K25))</f>
        <v>4942.9290000000001</v>
      </c>
    </row>
    <row r="5" spans="1:13" ht="15.75" x14ac:dyDescent="0.25">
      <c r="A5" t="s">
        <v>83</v>
      </c>
      <c r="B5" s="90" t="s">
        <v>78</v>
      </c>
      <c r="C5" s="90" t="s">
        <v>80</v>
      </c>
      <c r="D5" s="89">
        <f>40</f>
        <v>40</v>
      </c>
      <c r="E5" s="91">
        <v>0.13300000000000001</v>
      </c>
      <c r="F5" s="91">
        <f>9.7*1.5</f>
        <v>14.549999999999999</v>
      </c>
      <c r="G5" s="91">
        <v>60.5</v>
      </c>
      <c r="H5" s="91"/>
      <c r="I5" s="91">
        <f t="shared" si="0"/>
        <v>8.73</v>
      </c>
      <c r="J5" s="91"/>
      <c r="K5" s="91">
        <f>(E5*D5)</f>
        <v>5.32</v>
      </c>
      <c r="L5" s="89"/>
      <c r="M5" s="92"/>
    </row>
    <row r="6" spans="1:13" ht="15.75" x14ac:dyDescent="0.25">
      <c r="A6" t="s">
        <v>84</v>
      </c>
      <c r="B6" t="s">
        <v>73</v>
      </c>
      <c r="C6" s="90" t="s">
        <v>87</v>
      </c>
      <c r="D6" s="89">
        <f>D7*4</f>
        <v>720</v>
      </c>
      <c r="E6" s="91">
        <v>1.5089999999999999</v>
      </c>
      <c r="F6" s="91">
        <f>86.5*1.5</f>
        <v>129.75</v>
      </c>
      <c r="G6" s="91">
        <v>60.5</v>
      </c>
      <c r="H6" s="91"/>
      <c r="I6" s="91">
        <f t="shared" si="0"/>
        <v>1401.3000000000002</v>
      </c>
      <c r="J6" s="91"/>
      <c r="K6" s="91">
        <f>(E6*(D6/100))</f>
        <v>10.864799999999999</v>
      </c>
      <c r="L6" s="89"/>
      <c r="M6" s="92">
        <f>I6+I7+I18+I26+(G2*(K6+K7+K18+K26))</f>
        <v>4165.6004000000003</v>
      </c>
    </row>
    <row r="7" spans="1:13" ht="15.75" x14ac:dyDescent="0.25">
      <c r="A7" t="s">
        <v>84</v>
      </c>
      <c r="B7" s="90" t="s">
        <v>78</v>
      </c>
      <c r="C7" s="90" t="s">
        <v>88</v>
      </c>
      <c r="D7" s="89">
        <v>180</v>
      </c>
      <c r="E7" s="91">
        <v>0.114</v>
      </c>
      <c r="F7" s="91">
        <f>5.9*1.5</f>
        <v>8.8500000000000014</v>
      </c>
      <c r="G7" s="91">
        <v>60.5</v>
      </c>
      <c r="H7" s="91"/>
      <c r="I7" s="91">
        <f t="shared" si="0"/>
        <v>23.895000000000003</v>
      </c>
      <c r="J7" s="91"/>
      <c r="K7" s="91">
        <f>(E7*D7)</f>
        <v>20.52</v>
      </c>
      <c r="L7" s="89"/>
      <c r="M7" s="92"/>
    </row>
    <row r="8" spans="1:13" ht="15.75" x14ac:dyDescent="0.25">
      <c r="A8" t="s">
        <v>85</v>
      </c>
      <c r="B8" t="s">
        <v>73</v>
      </c>
      <c r="C8" s="90" t="s">
        <v>89</v>
      </c>
      <c r="D8" s="89">
        <f>D9*5</f>
        <v>1125</v>
      </c>
      <c r="E8" s="91">
        <v>3.6360000000000001</v>
      </c>
      <c r="F8" s="91">
        <v>420</v>
      </c>
      <c r="G8" s="91">
        <v>60.5</v>
      </c>
      <c r="H8" s="91"/>
      <c r="I8" s="91">
        <f t="shared" si="0"/>
        <v>7087.5</v>
      </c>
      <c r="J8" s="91"/>
      <c r="K8" s="91">
        <f>(E8*(D8/100))</f>
        <v>40.905000000000001</v>
      </c>
      <c r="L8" s="89"/>
      <c r="M8" s="92">
        <f>I8+I9+I19+I27+(G2*(K8+K9+K19+K27))</f>
        <v>14907.758750000001</v>
      </c>
    </row>
    <row r="9" spans="1:13" ht="15.75" x14ac:dyDescent="0.25">
      <c r="A9" t="s">
        <v>85</v>
      </c>
      <c r="B9" s="90" t="s">
        <v>78</v>
      </c>
      <c r="C9" s="90" t="s">
        <v>90</v>
      </c>
      <c r="D9" s="89">
        <f>225</f>
        <v>225</v>
      </c>
      <c r="E9" s="91">
        <v>0.16</v>
      </c>
      <c r="F9" s="91">
        <f>16.1*1.5</f>
        <v>24.150000000000002</v>
      </c>
      <c r="G9" s="91">
        <v>60.5</v>
      </c>
      <c r="H9" s="91"/>
      <c r="I9" s="91">
        <f t="shared" si="0"/>
        <v>81.506250000000009</v>
      </c>
      <c r="J9" s="91"/>
      <c r="K9" s="91">
        <f>(E9*D9)</f>
        <v>36</v>
      </c>
      <c r="L9" s="89"/>
      <c r="M9" s="92"/>
    </row>
    <row r="10" spans="1:13" ht="15.75" x14ac:dyDescent="0.25">
      <c r="A10" t="s">
        <v>86</v>
      </c>
      <c r="B10" t="s">
        <v>73</v>
      </c>
      <c r="C10" s="90" t="s">
        <v>91</v>
      </c>
      <c r="D10" s="89">
        <f>D11*4</f>
        <v>1080</v>
      </c>
      <c r="E10" s="91">
        <v>1.778</v>
      </c>
      <c r="F10" s="91">
        <v>134</v>
      </c>
      <c r="G10" s="91">
        <v>60.5</v>
      </c>
      <c r="H10" s="91"/>
      <c r="I10" s="91">
        <f t="shared" si="0"/>
        <v>2170.8000000000002</v>
      </c>
      <c r="J10" s="91"/>
      <c r="K10" s="91">
        <f>(E10*(D10/100))</f>
        <v>19.202400000000001</v>
      </c>
      <c r="L10" s="89"/>
      <c r="M10" s="92">
        <f>I10+I11+I20+I28+(G2*(K10+K11+K20+K28))</f>
        <v>6226.5077000000001</v>
      </c>
    </row>
    <row r="11" spans="1:13" ht="15.75" x14ac:dyDescent="0.25">
      <c r="A11" t="s">
        <v>86</v>
      </c>
      <c r="B11" s="90" t="s">
        <v>78</v>
      </c>
      <c r="C11" s="90" t="s">
        <v>92</v>
      </c>
      <c r="D11" s="89">
        <v>270</v>
      </c>
      <c r="E11" s="91">
        <v>0.123</v>
      </c>
      <c r="F11" s="91">
        <f>7.1*1.5</f>
        <v>10.649999999999999</v>
      </c>
      <c r="G11" s="91">
        <v>60.5</v>
      </c>
      <c r="H11" s="91"/>
      <c r="I11" s="91">
        <f t="shared" si="0"/>
        <v>43.1325</v>
      </c>
      <c r="J11" s="91"/>
      <c r="K11" s="91">
        <f>(E11*D11)</f>
        <v>33.21</v>
      </c>
      <c r="L11" s="89"/>
      <c r="M11" s="92"/>
    </row>
    <row r="12" spans="1:13" ht="15.75" x14ac:dyDescent="0.25">
      <c r="C12" s="90"/>
      <c r="D12" s="89"/>
      <c r="E12" s="89"/>
      <c r="F12" s="89"/>
      <c r="G12" s="89"/>
      <c r="H12" s="89"/>
      <c r="I12" s="89"/>
    </row>
    <row r="13" spans="1:13" ht="15.75" x14ac:dyDescent="0.25">
      <c r="C13" s="90"/>
      <c r="D13" s="89"/>
      <c r="E13" s="89" t="s">
        <v>98</v>
      </c>
      <c r="F13" s="89"/>
      <c r="G13" s="89" t="s">
        <v>99</v>
      </c>
      <c r="H13" s="89"/>
      <c r="I13" s="89"/>
    </row>
    <row r="14" spans="1:13" ht="15.75" x14ac:dyDescent="0.25">
      <c r="C14" s="90"/>
      <c r="D14" s="89"/>
      <c r="E14" s="89"/>
      <c r="F14" s="89"/>
      <c r="G14" s="89"/>
      <c r="H14" s="89"/>
      <c r="I14" s="89"/>
    </row>
    <row r="15" spans="1:13" ht="15.75" x14ac:dyDescent="0.25">
      <c r="A15" t="s">
        <v>95</v>
      </c>
      <c r="C15" s="90"/>
      <c r="D15" s="89"/>
      <c r="E15" s="89"/>
      <c r="F15" s="89"/>
      <c r="G15" s="89"/>
      <c r="H15" s="89"/>
      <c r="I15" s="89"/>
    </row>
    <row r="16" spans="1:13" ht="15.75" x14ac:dyDescent="0.25">
      <c r="A16" t="s">
        <v>82</v>
      </c>
      <c r="B16" t="s">
        <v>100</v>
      </c>
      <c r="C16" s="90" t="s">
        <v>104</v>
      </c>
      <c r="D16" s="89"/>
      <c r="E16" s="89">
        <v>2</v>
      </c>
      <c r="F16" s="89">
        <v>350</v>
      </c>
      <c r="G16" s="91">
        <v>60.5</v>
      </c>
      <c r="H16" s="89"/>
      <c r="I16" s="89">
        <f>F16*1.5</f>
        <v>525</v>
      </c>
      <c r="K16" s="89">
        <f>E16</f>
        <v>2</v>
      </c>
    </row>
    <row r="17" spans="1:11" ht="15.75" x14ac:dyDescent="0.25">
      <c r="A17" t="s">
        <v>83</v>
      </c>
      <c r="B17" t="s">
        <v>101</v>
      </c>
      <c r="C17" s="90" t="s">
        <v>103</v>
      </c>
      <c r="D17" s="89"/>
      <c r="E17" s="89">
        <v>6</v>
      </c>
      <c r="F17" s="89">
        <v>875</v>
      </c>
      <c r="G17" s="91">
        <v>60.5</v>
      </c>
      <c r="H17" s="89"/>
      <c r="I17" s="89">
        <f>F17*1.5</f>
        <v>1312.5</v>
      </c>
      <c r="K17" s="89">
        <f t="shared" ref="K17:K20" si="1">E17</f>
        <v>6</v>
      </c>
    </row>
    <row r="18" spans="1:11" ht="15.75" x14ac:dyDescent="0.25">
      <c r="A18" t="s">
        <v>84</v>
      </c>
      <c r="B18" t="s">
        <v>102</v>
      </c>
      <c r="C18" s="90" t="s">
        <v>104</v>
      </c>
      <c r="D18" s="89"/>
      <c r="E18" s="89">
        <v>2.5</v>
      </c>
      <c r="F18" s="89">
        <v>350</v>
      </c>
      <c r="G18" s="91">
        <v>60.5</v>
      </c>
      <c r="H18" s="89"/>
      <c r="I18" s="89">
        <f>F18*1.5</f>
        <v>525</v>
      </c>
      <c r="K18" s="89">
        <f t="shared" si="1"/>
        <v>2.5</v>
      </c>
    </row>
    <row r="19" spans="1:11" ht="15.75" x14ac:dyDescent="0.25">
      <c r="A19" t="s">
        <v>85</v>
      </c>
      <c r="B19" t="s">
        <v>101</v>
      </c>
      <c r="C19" s="90" t="s">
        <v>103</v>
      </c>
      <c r="D19" s="89"/>
      <c r="E19" s="89">
        <v>6</v>
      </c>
      <c r="F19" s="89">
        <v>875</v>
      </c>
      <c r="G19" s="91">
        <v>60.5</v>
      </c>
      <c r="H19" s="89"/>
      <c r="I19" s="89">
        <f>F19*1.5</f>
        <v>1312.5</v>
      </c>
      <c r="K19" s="89">
        <f t="shared" si="1"/>
        <v>6</v>
      </c>
    </row>
    <row r="20" spans="1:11" ht="15.75" x14ac:dyDescent="0.25">
      <c r="A20" t="s">
        <v>86</v>
      </c>
      <c r="B20" t="s">
        <v>102</v>
      </c>
      <c r="C20" s="90" t="s">
        <v>104</v>
      </c>
      <c r="D20" s="89"/>
      <c r="E20" s="89">
        <v>2.5</v>
      </c>
      <c r="F20" s="89">
        <v>350</v>
      </c>
      <c r="G20" s="91">
        <v>60.5</v>
      </c>
      <c r="H20" s="89"/>
      <c r="I20" s="89">
        <f>F20*1.5</f>
        <v>525</v>
      </c>
      <c r="K20" s="89">
        <f t="shared" si="1"/>
        <v>2.5</v>
      </c>
    </row>
    <row r="21" spans="1:11" ht="15.75" x14ac:dyDescent="0.25">
      <c r="C21" s="90"/>
      <c r="D21" s="89"/>
      <c r="E21" s="89"/>
      <c r="F21" s="89"/>
      <c r="G21" s="89"/>
      <c r="H21" s="89"/>
      <c r="I21" s="89"/>
    </row>
    <row r="22" spans="1:11" ht="15.75" x14ac:dyDescent="0.25">
      <c r="C22" s="90"/>
      <c r="D22" s="89"/>
      <c r="E22" s="89"/>
      <c r="F22" s="89"/>
      <c r="G22" s="89"/>
      <c r="H22" s="89"/>
      <c r="I22" s="89"/>
    </row>
    <row r="23" spans="1:11" ht="15.75" x14ac:dyDescent="0.25">
      <c r="A23" t="s">
        <v>96</v>
      </c>
      <c r="C23" s="90"/>
      <c r="D23" s="89"/>
      <c r="E23" s="89"/>
      <c r="F23" s="89"/>
      <c r="G23" s="89"/>
      <c r="H23" s="89"/>
      <c r="I23" s="89"/>
    </row>
    <row r="24" spans="1:11" ht="15.75" x14ac:dyDescent="0.25">
      <c r="A24" t="s">
        <v>82</v>
      </c>
      <c r="B24" t="s">
        <v>100</v>
      </c>
      <c r="C24" s="90" t="s">
        <v>104</v>
      </c>
      <c r="E24" s="89">
        <v>0.5</v>
      </c>
      <c r="F24" s="89">
        <v>65</v>
      </c>
      <c r="G24" s="91">
        <v>60.5</v>
      </c>
      <c r="H24" s="89"/>
      <c r="I24" s="89">
        <f>F24*1.5</f>
        <v>97.5</v>
      </c>
      <c r="J24" s="89"/>
      <c r="K24" s="89">
        <f t="shared" ref="K24:K28" si="2">E24</f>
        <v>0.5</v>
      </c>
    </row>
    <row r="25" spans="1:11" ht="15.75" x14ac:dyDescent="0.25">
      <c r="A25" t="s">
        <v>83</v>
      </c>
      <c r="B25" t="s">
        <v>101</v>
      </c>
      <c r="C25" s="90" t="s">
        <v>103</v>
      </c>
      <c r="E25" s="89">
        <v>1</v>
      </c>
      <c r="F25" s="89">
        <v>900</v>
      </c>
      <c r="G25" s="91">
        <v>60.5</v>
      </c>
      <c r="H25" s="89"/>
      <c r="I25" s="89">
        <f>F25*1.5</f>
        <v>1350</v>
      </c>
      <c r="J25" s="89"/>
      <c r="K25" s="89">
        <f t="shared" si="2"/>
        <v>1</v>
      </c>
    </row>
    <row r="26" spans="1:11" ht="15.75" x14ac:dyDescent="0.25">
      <c r="A26" t="s">
        <v>84</v>
      </c>
      <c r="B26" t="s">
        <v>102</v>
      </c>
      <c r="C26" s="90" t="s">
        <v>104</v>
      </c>
      <c r="E26" s="89">
        <v>0.75</v>
      </c>
      <c r="F26" s="89">
        <v>80</v>
      </c>
      <c r="G26" s="91">
        <v>60.5</v>
      </c>
      <c r="H26" s="89"/>
      <c r="I26" s="89">
        <f>F26*1.5</f>
        <v>120</v>
      </c>
      <c r="J26" s="89"/>
      <c r="K26" s="89">
        <f t="shared" si="2"/>
        <v>0.75</v>
      </c>
    </row>
    <row r="27" spans="1:11" ht="15.75" x14ac:dyDescent="0.25">
      <c r="A27" t="s">
        <v>85</v>
      </c>
      <c r="B27" t="s">
        <v>101</v>
      </c>
      <c r="C27" s="90" t="s">
        <v>103</v>
      </c>
      <c r="E27" s="89">
        <v>1</v>
      </c>
      <c r="F27" s="89">
        <v>900</v>
      </c>
      <c r="G27" s="91">
        <v>60.5</v>
      </c>
      <c r="H27" s="89"/>
      <c r="I27" s="89">
        <f>F27*1.5</f>
        <v>1350</v>
      </c>
      <c r="J27" s="89"/>
      <c r="K27" s="89">
        <f t="shared" si="2"/>
        <v>1</v>
      </c>
    </row>
    <row r="28" spans="1:11" ht="15.75" x14ac:dyDescent="0.25">
      <c r="A28" t="s">
        <v>86</v>
      </c>
      <c r="B28" t="s">
        <v>102</v>
      </c>
      <c r="C28" s="90" t="s">
        <v>104</v>
      </c>
      <c r="E28" s="89">
        <v>0.75</v>
      </c>
      <c r="F28" s="89">
        <v>80</v>
      </c>
      <c r="G28" s="91">
        <v>60.5</v>
      </c>
      <c r="H28" s="89"/>
      <c r="I28" s="89">
        <f>F28*1.5</f>
        <v>120</v>
      </c>
      <c r="J28" s="89"/>
      <c r="K28" s="89">
        <f t="shared" si="2"/>
        <v>0.75</v>
      </c>
    </row>
  </sheetData>
  <pageMargins left="0.7" right="0.7" top="0.75" bottom="0.75" header="0.3" footer="0.3"/>
  <pageSetup paperSize="13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Electrical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HPUser</dc:creator>
  <cp:lastModifiedBy>Windows User</cp:lastModifiedBy>
  <cp:lastPrinted>2022-12-19T20:06:29Z</cp:lastPrinted>
  <dcterms:created xsi:type="dcterms:W3CDTF">2022-12-01T02:23:31Z</dcterms:created>
  <dcterms:modified xsi:type="dcterms:W3CDTF">2023-03-21T19:45:11Z</dcterms:modified>
</cp:coreProperties>
</file>