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30" yWindow="420" windowWidth="25530" windowHeight="13485"/>
  </bookViews>
  <sheets>
    <sheet name="Sheet1" sheetId="1" r:id="rId1"/>
    <sheet name="Electrical" sheetId="2" r:id="rId2"/>
  </sheets>
  <definedNames>
    <definedName name="_xlnm.Print_Area" localSheetId="0">Sheet1!$A$1:$L$52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/>
  <c r="H37"/>
  <c r="H36"/>
  <c r="H35"/>
  <c r="H34"/>
  <c r="H33"/>
  <c r="H32"/>
  <c r="H31"/>
  <c r="H30"/>
  <c r="H29"/>
  <c r="H28"/>
  <c r="H27"/>
  <c r="H26"/>
  <c r="J32" l="1"/>
  <c r="J33"/>
  <c r="J35"/>
  <c r="J34"/>
  <c r="J19"/>
  <c r="J18"/>
  <c r="I28" i="2" l="1"/>
  <c r="I27"/>
  <c r="I26"/>
  <c r="J16" i="1" s="1"/>
  <c r="I25" i="2"/>
  <c r="I24"/>
  <c r="I20"/>
  <c r="I19"/>
  <c r="I18"/>
  <c r="I17"/>
  <c r="I16"/>
  <c r="I11"/>
  <c r="I10"/>
  <c r="I9"/>
  <c r="I7"/>
  <c r="I6"/>
  <c r="M6" s="1"/>
  <c r="I5"/>
  <c r="I4"/>
  <c r="I3"/>
  <c r="I2"/>
  <c r="H16" i="1"/>
  <c r="G17"/>
  <c r="H17" s="1"/>
  <c r="G16"/>
  <c r="G15"/>
  <c r="H15" s="1"/>
  <c r="K28" i="2"/>
  <c r="K27"/>
  <c r="K26"/>
  <c r="K25"/>
  <c r="K24"/>
  <c r="K20"/>
  <c r="K19"/>
  <c r="K18"/>
  <c r="K17"/>
  <c r="G13" i="1" s="1"/>
  <c r="H13" s="1"/>
  <c r="K16" i="2"/>
  <c r="K11"/>
  <c r="K10"/>
  <c r="K9"/>
  <c r="K8"/>
  <c r="G14" i="1" s="1"/>
  <c r="H14" s="1"/>
  <c r="K7" i="2"/>
  <c r="K6"/>
  <c r="K5"/>
  <c r="K4"/>
  <c r="K3"/>
  <c r="K2"/>
  <c r="F9"/>
  <c r="F11"/>
  <c r="F7"/>
  <c r="F5"/>
  <c r="F3"/>
  <c r="F4"/>
  <c r="F6"/>
  <c r="F2"/>
  <c r="D10"/>
  <c r="D8"/>
  <c r="I8" s="1"/>
  <c r="D6"/>
  <c r="D5"/>
  <c r="D3"/>
  <c r="D2"/>
  <c r="D4"/>
  <c r="H10" i="1"/>
  <c r="H9"/>
  <c r="M10" i="2" l="1"/>
  <c r="M2"/>
  <c r="J15" i="1"/>
  <c r="M8" i="2"/>
  <c r="J14" i="1"/>
  <c r="M4" i="2"/>
  <c r="J13" i="1"/>
  <c r="J17"/>
  <c r="E38"/>
  <c r="H23"/>
  <c r="H22"/>
  <c r="H21"/>
  <c r="H20"/>
  <c r="H19"/>
  <c r="H18"/>
  <c r="H8"/>
  <c r="H7"/>
  <c r="H6"/>
  <c r="H5"/>
  <c r="H11"/>
  <c r="J38" l="1"/>
  <c r="H38"/>
  <c r="J41" l="1"/>
  <c r="J46" l="1"/>
  <c r="J47" s="1"/>
  <c r="J48"/>
  <c r="J49" l="1"/>
</calcChain>
</file>

<file path=xl/sharedStrings.xml><?xml version="1.0" encoding="utf-8"?>
<sst xmlns="http://schemas.openxmlformats.org/spreadsheetml/2006/main" count="245" uniqueCount="126">
  <si>
    <t>DESCRIPTION</t>
  </si>
  <si>
    <t>$, TOTAL</t>
  </si>
  <si>
    <t>LABOR</t>
  </si>
  <si>
    <t>REMARKS</t>
  </si>
  <si>
    <t>Demolition</t>
  </si>
  <si>
    <t>TOTAL LABOR HOURS</t>
  </si>
  <si>
    <t>Demolition, air handling unit (5 ton fan coil in gym)</t>
  </si>
  <si>
    <t>TASK</t>
  </si>
  <si>
    <t>Demolition, condenser "B" on grade</t>
  </si>
  <si>
    <t>Construction</t>
  </si>
  <si>
    <t>Approximately 30 feet above grade</t>
  </si>
  <si>
    <t>Demolish exist. condenser</t>
  </si>
  <si>
    <t>Demolish exist. Fan coil unit</t>
  </si>
  <si>
    <t>CREW</t>
  </si>
  <si>
    <t>16" side wall exhaust fan, 1500 CFM</t>
  </si>
  <si>
    <t xml:space="preserve">MATERIAL </t>
  </si>
  <si>
    <t xml:space="preserve">Bond (3%):  </t>
  </si>
  <si>
    <t xml:space="preserve">Tax (9%):  </t>
  </si>
  <si>
    <t xml:space="preserve">Total:  </t>
  </si>
  <si>
    <t>Equipment, labor &amp; material</t>
  </si>
  <si>
    <t>16" side wall exhaust fan</t>
  </si>
  <si>
    <t>Overall Subtotal:</t>
  </si>
  <si>
    <t xml:space="preserve">EQUIPMENT </t>
  </si>
  <si>
    <t>Manlift</t>
  </si>
  <si>
    <t>Forklift</t>
  </si>
  <si>
    <t>Scafolding</t>
  </si>
  <si>
    <t>Ladder</t>
  </si>
  <si>
    <t>Scaffolding</t>
  </si>
  <si>
    <t xml:space="preserve">3 sht. mtl. </t>
  </si>
  <si>
    <t xml:space="preserve">2 sht. mtl. </t>
  </si>
  <si>
    <t>Including 5 ton condenser</t>
  </si>
  <si>
    <t>w/ exterior rain hood &amp; shutter</t>
  </si>
  <si>
    <t xml:space="preserve">Permits &amp; Fees (3%):  </t>
  </si>
  <si>
    <t>HVAC MECHANICAL ESTIMATE _ BOYET JUNIOR HIGH SCHOOL</t>
  </si>
  <si>
    <t>2 sht. mtl.</t>
  </si>
  <si>
    <t>Painted steel to match wall</t>
  </si>
  <si>
    <t xml:space="preserve">Equipment Subtotal ($) :  </t>
  </si>
  <si>
    <t>Labor Subtotal ($):</t>
  </si>
  <si>
    <t>Material Subtotal ($):</t>
  </si>
  <si>
    <t>S/A and R/A grilles for 5 ton DX unit</t>
  </si>
  <si>
    <t xml:space="preserve">1 sht. mtl. </t>
  </si>
  <si>
    <t>16" x 10" registers</t>
  </si>
  <si>
    <t>30,000 BTUH mini-split</t>
  </si>
  <si>
    <t>18,000 BTUH mini-split</t>
  </si>
  <si>
    <t>New installation</t>
  </si>
  <si>
    <t>30,000 BTUH mini-split system with ceiling cassette for front entry lobby</t>
  </si>
  <si>
    <t>18,000 BTUH mini-split system for area adjacent to front entry lobby</t>
  </si>
  <si>
    <t>1-1/2" thk duct wrap with FSK &amp; weather jacket</t>
  </si>
  <si>
    <t xml:space="preserve">Install ductwork for 5 ton split DX </t>
  </si>
  <si>
    <t xml:space="preserve">Install S/A &amp; R/A grilles in upper wall - both 15 ton units </t>
  </si>
  <si>
    <t>Install on grade with duct routed to overherad diffusers near roof.</t>
  </si>
  <si>
    <t>Sidewall registers w/ adjustable vanes</t>
  </si>
  <si>
    <t>5 Ton split system DX</t>
  </si>
  <si>
    <t>16" x 16" metal duct, 50 ft. long</t>
  </si>
  <si>
    <t xml:space="preserve">280 Lb. galvanized sheetmetal </t>
  </si>
  <si>
    <t>w/ adjustable vanes</t>
  </si>
  <si>
    <t>Replace in kind</t>
  </si>
  <si>
    <t>Demolition, air handling unit "B" (15 ton in trusses, 30 ft above grade)</t>
  </si>
  <si>
    <t>Demolition, air handling unit "A" (15 ton in trusses, 30 ft above grade)</t>
  </si>
  <si>
    <t>Demolition, condenser "A", on grade</t>
  </si>
  <si>
    <t>Mobilization and demobilization</t>
  </si>
  <si>
    <t xml:space="preserve">Height/difficulty factor: </t>
  </si>
  <si>
    <t>2,500 Lb. galvanized sheetmetal</t>
  </si>
  <si>
    <t>1 elect, 1 sht. mtl.</t>
  </si>
  <si>
    <t>Duct insulation, 1600 Sq. Ft.</t>
  </si>
  <si>
    <t>Duct insulation, 300 Sq. Ft.</t>
  </si>
  <si>
    <t>1-1/2" thk duct wrap with FSK vapor barrier</t>
  </si>
  <si>
    <t xml:space="preserve">Administartion:  </t>
  </si>
  <si>
    <t>Grille balancing</t>
  </si>
  <si>
    <t>Air balance</t>
  </si>
  <si>
    <t>balance to within 10% of design</t>
  </si>
  <si>
    <t>Duct insulation, interior liner, both units</t>
  </si>
  <si>
    <t>20" x 40" duct, 40 ft. long</t>
  </si>
  <si>
    <t>Duct insulation, liner</t>
  </si>
  <si>
    <t>Structural</t>
  </si>
  <si>
    <t>Electrical</t>
  </si>
  <si>
    <t>Fabricate &amp; install ductwork for 5 ton split DX air handling unit</t>
  </si>
  <si>
    <t>Fabricate &amp; install 16" x 16" metal duct, 50 ft. long</t>
  </si>
  <si>
    <t>Demolition, condensing unit (5 ton  gym roof)</t>
  </si>
  <si>
    <t>Demolition, Ductless Mini-Split (1.5 ton Food Services @ Entrance)</t>
  </si>
  <si>
    <t>Wire</t>
  </si>
  <si>
    <t>Labor Hrs</t>
  </si>
  <si>
    <t>Length</t>
  </si>
  <si>
    <t>#6</t>
  </si>
  <si>
    <t>2/0</t>
  </si>
  <si>
    <t>Conduit</t>
  </si>
  <si>
    <t>1"</t>
  </si>
  <si>
    <t>2"</t>
  </si>
  <si>
    <t>Size</t>
  </si>
  <si>
    <t>MiniSp</t>
  </si>
  <si>
    <t>RTU#1</t>
  </si>
  <si>
    <t>AHU#2</t>
  </si>
  <si>
    <t>RTU#2</t>
  </si>
  <si>
    <t>AHU#1</t>
  </si>
  <si>
    <t>#4</t>
  </si>
  <si>
    <t>1.25"</t>
  </si>
  <si>
    <t>4/0</t>
  </si>
  <si>
    <t>2.5</t>
  </si>
  <si>
    <t>#2</t>
  </si>
  <si>
    <t>1.5</t>
  </si>
  <si>
    <t>Labor/hr</t>
  </si>
  <si>
    <t>Material/CLF</t>
  </si>
  <si>
    <t>Disconnects</t>
  </si>
  <si>
    <t>Breakers</t>
  </si>
  <si>
    <t>Material Cost</t>
  </si>
  <si>
    <t>Wire CLF = 100 FT</t>
  </si>
  <si>
    <t>Conduit = LF</t>
  </si>
  <si>
    <t>40 Amp</t>
  </si>
  <si>
    <t>150 Amp</t>
  </si>
  <si>
    <t>60 Amp</t>
  </si>
  <si>
    <t>3 Phase</t>
  </si>
  <si>
    <t>1 Phase</t>
  </si>
  <si>
    <t xml:space="preserve">RTU#1 </t>
  </si>
  <si>
    <t>Mini-Split</t>
  </si>
  <si>
    <t>Labor HRs</t>
  </si>
  <si>
    <t>Materials</t>
  </si>
  <si>
    <t>Concrete Pad for RTU#1</t>
  </si>
  <si>
    <t>Install 15 ton packaged RTU#1 on Ground</t>
  </si>
  <si>
    <t>Install 15 ton packaged RTU#2 on Ground</t>
  </si>
  <si>
    <t>15 Ton packaged DX unit, 208-3 phase, 36 kW Heat</t>
  </si>
  <si>
    <t>Install 5 ton split DX AHU #1</t>
  </si>
  <si>
    <t>Install 5 ton split DX AHU #2</t>
  </si>
  <si>
    <t>Ductwork for RTU#1</t>
  </si>
  <si>
    <t>Ductwork for RTU#2</t>
  </si>
  <si>
    <t>Concrete Pad</t>
  </si>
  <si>
    <t>Contingency (20%):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</si>
</sst>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6337778862885"/>
        <bgColor indexed="64"/>
      </patternFill>
    </fill>
  </fills>
  <borders count="7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ck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 style="thick">
        <color auto="1"/>
      </right>
      <top style="hair">
        <color auto="1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2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3" fontId="0" fillId="0" borderId="53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4" fillId="0" borderId="49" xfId="0" applyFont="1" applyBorder="1" applyAlignment="1">
      <alignment horizontal="right" vertical="center"/>
    </xf>
    <xf numFmtId="42" fontId="4" fillId="3" borderId="56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5" xfId="0" applyBorder="1" applyAlignment="1">
      <alignment horizontal="left"/>
    </xf>
    <xf numFmtId="164" fontId="0" fillId="0" borderId="57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4" fontId="5" fillId="0" borderId="0" xfId="0" applyNumberFormat="1" applyFont="1"/>
    <xf numFmtId="165" fontId="5" fillId="0" borderId="0" xfId="0" applyNumberFormat="1" applyFont="1"/>
    <xf numFmtId="3" fontId="0" fillId="0" borderId="28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6" fillId="0" borderId="43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center" vertical="center" wrapText="1"/>
    </xf>
    <xf numFmtId="164" fontId="0" fillId="0" borderId="65" xfId="0" applyNumberFormat="1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0" fontId="0" fillId="0" borderId="66" xfId="0" applyBorder="1" applyAlignment="1">
      <alignment horizontal="center" vertical="center"/>
    </xf>
    <xf numFmtId="164" fontId="0" fillId="0" borderId="67" xfId="0" applyNumberFormat="1" applyBorder="1" applyAlignment="1">
      <alignment horizontal="center" vertical="center"/>
    </xf>
    <xf numFmtId="0" fontId="0" fillId="0" borderId="69" xfId="0" applyBorder="1" applyAlignment="1">
      <alignment horizontal="left" vertical="center"/>
    </xf>
    <xf numFmtId="164" fontId="6" fillId="0" borderId="68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3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6"/>
  <sheetViews>
    <sheetView tabSelected="1" workbookViewId="0">
      <selection activeCell="K44" sqref="K44"/>
    </sheetView>
  </sheetViews>
  <sheetFormatPr defaultRowHeight="15"/>
  <cols>
    <col min="1" max="1" width="9.140625" style="1"/>
    <col min="2" max="2" width="12.28515625" style="1" bestFit="1" customWidth="1"/>
    <col min="3" max="3" width="66.140625" style="1" bestFit="1" customWidth="1"/>
    <col min="4" max="4" width="12.7109375" style="1" bestFit="1" customWidth="1"/>
    <col min="5" max="5" width="8.5703125" style="1" bestFit="1" customWidth="1"/>
    <col min="6" max="6" width="10.140625" style="1" bestFit="1" customWidth="1"/>
    <col min="7" max="7" width="19.7109375" style="1" bestFit="1" customWidth="1"/>
    <col min="8" max="8" width="8.5703125" style="1" bestFit="1" customWidth="1"/>
    <col min="9" max="9" width="35.7109375" style="1" bestFit="1" customWidth="1"/>
    <col min="10" max="10" width="10" style="1" bestFit="1" customWidth="1"/>
    <col min="11" max="11" width="43.42578125" style="1" bestFit="1" customWidth="1"/>
    <col min="12" max="16384" width="9.140625" style="1"/>
  </cols>
  <sheetData>
    <row r="1" spans="2:11" ht="15.75" thickBot="1"/>
    <row r="2" spans="2:11" ht="23.25" customHeight="1" thickTop="1">
      <c r="B2" s="101" t="s">
        <v>33</v>
      </c>
      <c r="C2" s="102"/>
      <c r="D2" s="102"/>
      <c r="E2" s="102"/>
      <c r="F2" s="102"/>
      <c r="G2" s="102"/>
      <c r="H2" s="102"/>
      <c r="I2" s="102"/>
      <c r="J2" s="102"/>
      <c r="K2" s="103"/>
    </row>
    <row r="3" spans="2:11" ht="15" customHeight="1">
      <c r="B3" s="115" t="s">
        <v>7</v>
      </c>
      <c r="C3" s="110" t="s">
        <v>0</v>
      </c>
      <c r="D3" s="107" t="s">
        <v>22</v>
      </c>
      <c r="E3" s="108"/>
      <c r="F3" s="104" t="s">
        <v>2</v>
      </c>
      <c r="G3" s="105"/>
      <c r="H3" s="106"/>
      <c r="I3" s="119" t="s">
        <v>15</v>
      </c>
      <c r="J3" s="120"/>
      <c r="K3" s="117" t="s">
        <v>3</v>
      </c>
    </row>
    <row r="4" spans="2:11" ht="15.75" thickBot="1">
      <c r="B4" s="116"/>
      <c r="C4" s="111"/>
      <c r="D4" s="4" t="s">
        <v>0</v>
      </c>
      <c r="E4" s="35" t="s">
        <v>1</v>
      </c>
      <c r="F4" s="13" t="s">
        <v>13</v>
      </c>
      <c r="G4" s="4" t="s">
        <v>5</v>
      </c>
      <c r="H4" s="4" t="s">
        <v>1</v>
      </c>
      <c r="I4" s="34" t="s">
        <v>0</v>
      </c>
      <c r="J4" s="34" t="s">
        <v>1</v>
      </c>
      <c r="K4" s="118"/>
    </row>
    <row r="5" spans="2:11" ht="15.75" thickTop="1">
      <c r="B5" s="112" t="s">
        <v>4</v>
      </c>
      <c r="C5" s="9" t="s">
        <v>58</v>
      </c>
      <c r="D5" s="36" t="s">
        <v>23</v>
      </c>
      <c r="E5" s="71">
        <v>420</v>
      </c>
      <c r="F5" s="8" t="s">
        <v>28</v>
      </c>
      <c r="G5" s="7">
        <v>24</v>
      </c>
      <c r="H5" s="73">
        <f>G5*60</f>
        <v>1440</v>
      </c>
      <c r="I5" s="20"/>
      <c r="J5" s="20"/>
      <c r="K5" s="24" t="s">
        <v>10</v>
      </c>
    </row>
    <row r="6" spans="2:11">
      <c r="B6" s="113"/>
      <c r="C6" s="16" t="s">
        <v>57</v>
      </c>
      <c r="D6" s="37" t="s">
        <v>23</v>
      </c>
      <c r="E6" s="72">
        <v>420</v>
      </c>
      <c r="F6" s="14" t="s">
        <v>28</v>
      </c>
      <c r="G6" s="15">
        <v>24</v>
      </c>
      <c r="H6" s="77">
        <f>G6*60</f>
        <v>1440</v>
      </c>
      <c r="I6" s="21"/>
      <c r="J6" s="21"/>
      <c r="K6" s="25" t="s">
        <v>10</v>
      </c>
    </row>
    <row r="7" spans="2:11">
      <c r="B7" s="113"/>
      <c r="C7" s="10" t="s">
        <v>59</v>
      </c>
      <c r="D7" s="37" t="s">
        <v>24</v>
      </c>
      <c r="E7" s="73">
        <v>210</v>
      </c>
      <c r="F7" s="14" t="s">
        <v>34</v>
      </c>
      <c r="G7" s="3">
        <v>6</v>
      </c>
      <c r="H7" s="77">
        <f>G7*40</f>
        <v>240</v>
      </c>
      <c r="I7" s="22"/>
      <c r="J7" s="22"/>
      <c r="K7" s="26" t="s">
        <v>11</v>
      </c>
    </row>
    <row r="8" spans="2:11">
      <c r="B8" s="113"/>
      <c r="C8" s="10" t="s">
        <v>8</v>
      </c>
      <c r="D8" s="37" t="s">
        <v>24</v>
      </c>
      <c r="E8" s="73">
        <v>210</v>
      </c>
      <c r="F8" s="14" t="s">
        <v>29</v>
      </c>
      <c r="G8" s="3">
        <v>6</v>
      </c>
      <c r="H8" s="77">
        <f>G8*40</f>
        <v>240</v>
      </c>
      <c r="I8" s="22"/>
      <c r="J8" s="22"/>
      <c r="K8" s="26" t="s">
        <v>11</v>
      </c>
    </row>
    <row r="9" spans="2:11" ht="15.75" thickBot="1">
      <c r="B9" s="113"/>
      <c r="C9" s="17" t="s">
        <v>6</v>
      </c>
      <c r="D9" s="19" t="s">
        <v>25</v>
      </c>
      <c r="E9" s="74">
        <v>100</v>
      </c>
      <c r="F9" s="18" t="s">
        <v>29</v>
      </c>
      <c r="G9" s="19">
        <v>3</v>
      </c>
      <c r="H9" s="80">
        <f t="shared" ref="H9:H10" si="0">G9*40</f>
        <v>120</v>
      </c>
      <c r="I9" s="21"/>
      <c r="J9" s="21"/>
      <c r="K9" s="27"/>
    </row>
    <row r="10" spans="2:11" ht="15.75" thickBot="1">
      <c r="B10" s="113"/>
      <c r="C10" s="17" t="s">
        <v>78</v>
      </c>
      <c r="D10" s="19" t="s">
        <v>24</v>
      </c>
      <c r="E10" s="74">
        <v>120</v>
      </c>
      <c r="F10" s="18" t="s">
        <v>29</v>
      </c>
      <c r="G10" s="19">
        <v>2</v>
      </c>
      <c r="H10" s="80">
        <f t="shared" si="0"/>
        <v>80</v>
      </c>
      <c r="I10" s="21"/>
      <c r="J10" s="21"/>
      <c r="K10" s="27"/>
    </row>
    <row r="11" spans="2:11" ht="15.75" thickBot="1">
      <c r="B11" s="114"/>
      <c r="C11" s="17" t="s">
        <v>79</v>
      </c>
      <c r="D11" s="19" t="s">
        <v>26</v>
      </c>
      <c r="E11" s="74">
        <v>0</v>
      </c>
      <c r="F11" s="18" t="s">
        <v>29</v>
      </c>
      <c r="G11" s="19">
        <v>4</v>
      </c>
      <c r="H11" s="80">
        <f t="shared" ref="H11" si="1">G11*40</f>
        <v>160</v>
      </c>
      <c r="I11" s="23"/>
      <c r="J11" s="23"/>
      <c r="K11" s="70" t="s">
        <v>12</v>
      </c>
    </row>
    <row r="12" spans="2:11" ht="15.75" thickBot="1">
      <c r="B12" s="91" t="s">
        <v>74</v>
      </c>
      <c r="C12" s="92" t="s">
        <v>116</v>
      </c>
      <c r="D12" s="93"/>
      <c r="E12" s="94"/>
      <c r="F12" s="95"/>
      <c r="G12" s="96"/>
      <c r="H12" s="97"/>
      <c r="I12" s="92" t="s">
        <v>124</v>
      </c>
      <c r="J12" s="99">
        <v>2000</v>
      </c>
      <c r="K12" s="98"/>
    </row>
    <row r="13" spans="2:11">
      <c r="B13" s="113" t="s">
        <v>75</v>
      </c>
      <c r="C13" s="66" t="s">
        <v>112</v>
      </c>
      <c r="D13" s="39" t="s">
        <v>26</v>
      </c>
      <c r="E13" s="72">
        <v>0</v>
      </c>
      <c r="F13" s="67"/>
      <c r="G13" s="86">
        <f>Electrical!K4+Electrical!K5+Electrical!K17+Electrical!K25</f>
        <v>17.838000000000001</v>
      </c>
      <c r="H13" s="72">
        <f>G13*60.5</f>
        <v>1079.1990000000001</v>
      </c>
      <c r="I13" s="68" t="s">
        <v>115</v>
      </c>
      <c r="J13" s="79">
        <f>Electrical!I4+Electrical!I5+Electrical!I17+Electrical!I25</f>
        <v>3863.73</v>
      </c>
      <c r="K13" s="69"/>
    </row>
    <row r="14" spans="2:11">
      <c r="B14" s="113"/>
      <c r="C14" s="66" t="s">
        <v>92</v>
      </c>
      <c r="D14" s="44" t="s">
        <v>27</v>
      </c>
      <c r="E14" s="72">
        <v>200</v>
      </c>
      <c r="F14" s="67"/>
      <c r="G14" s="86">
        <f>Electrical!K8+Electrical!K9+Electrical!K19+Electrical!K27</f>
        <v>68.524000000000001</v>
      </c>
      <c r="H14" s="72">
        <f t="shared" ref="H14:H17" si="2">G14*60.5</f>
        <v>4145.7020000000002</v>
      </c>
      <c r="I14" s="68" t="s">
        <v>115</v>
      </c>
      <c r="J14" s="79">
        <f>Electrical!I8+Electrical!I9+Electrical!I19+Electrical!I27</f>
        <v>8397.7049999999999</v>
      </c>
      <c r="K14" s="69"/>
    </row>
    <row r="15" spans="2:11">
      <c r="B15" s="113"/>
      <c r="C15" s="66" t="s">
        <v>93</v>
      </c>
      <c r="D15" s="44" t="s">
        <v>27</v>
      </c>
      <c r="E15" s="72">
        <v>200</v>
      </c>
      <c r="F15" s="67"/>
      <c r="G15" s="86">
        <f>Electrical!K10+Electrical!K11+Electrical!K20+Electrical!K28</f>
        <v>55.662400000000005</v>
      </c>
      <c r="H15" s="72">
        <f t="shared" si="2"/>
        <v>3367.5752000000002</v>
      </c>
      <c r="I15" s="68" t="s">
        <v>115</v>
      </c>
      <c r="J15" s="79">
        <f>Electrical!I10+Electrical!I11+Electrical!I20+Electrical!I28</f>
        <v>2858.9325000000003</v>
      </c>
      <c r="K15" s="69"/>
    </row>
    <row r="16" spans="2:11">
      <c r="B16" s="113"/>
      <c r="C16" s="66" t="s">
        <v>91</v>
      </c>
      <c r="D16" s="44" t="s">
        <v>27</v>
      </c>
      <c r="E16" s="72">
        <v>200</v>
      </c>
      <c r="F16" s="67"/>
      <c r="G16" s="86">
        <f>Electrical!K6+Electrical!K7+Electrical!K18+Electrical!K26</f>
        <v>34.634799999999998</v>
      </c>
      <c r="H16" s="72">
        <f t="shared" si="2"/>
        <v>2095.4054000000001</v>
      </c>
      <c r="I16" s="68" t="s">
        <v>115</v>
      </c>
      <c r="J16" s="79">
        <f>Electrical!I6+Electrical!I7+Electrical!I18+Electrical!I26</f>
        <v>2070.1950000000002</v>
      </c>
      <c r="K16" s="69"/>
    </row>
    <row r="17" spans="2:11" ht="15.75" thickBot="1">
      <c r="B17" s="114"/>
      <c r="C17" s="17" t="s">
        <v>113</v>
      </c>
      <c r="D17" s="39" t="s">
        <v>26</v>
      </c>
      <c r="E17" s="72">
        <v>0</v>
      </c>
      <c r="F17" s="67"/>
      <c r="G17" s="86">
        <f>Electrical!K2+Electrical!K3+Electrical!K16+Electrical!K24</f>
        <v>17.3</v>
      </c>
      <c r="H17" s="72">
        <f t="shared" si="2"/>
        <v>1046.6500000000001</v>
      </c>
      <c r="I17" s="68" t="s">
        <v>115</v>
      </c>
      <c r="J17" s="72">
        <f>Electrical!I2+Electrical!I3+Electrical!I16+Electrical!I24</f>
        <v>1657.05</v>
      </c>
      <c r="K17" s="27"/>
    </row>
    <row r="18" spans="2:11" ht="30">
      <c r="B18" s="121" t="s">
        <v>9</v>
      </c>
      <c r="C18" s="87" t="s">
        <v>117</v>
      </c>
      <c r="D18" s="38" t="s">
        <v>24</v>
      </c>
      <c r="E18" s="75">
        <v>210</v>
      </c>
      <c r="F18" s="29" t="s">
        <v>29</v>
      </c>
      <c r="G18" s="30">
        <v>20</v>
      </c>
      <c r="H18" s="75">
        <f>G18*50</f>
        <v>1000</v>
      </c>
      <c r="I18" s="64" t="s">
        <v>119</v>
      </c>
      <c r="J18" s="88">
        <f>16500+1800</f>
        <v>18300</v>
      </c>
      <c r="K18" s="46" t="s">
        <v>50</v>
      </c>
    </row>
    <row r="19" spans="2:11" ht="30">
      <c r="B19" s="113"/>
      <c r="C19" s="11" t="s">
        <v>118</v>
      </c>
      <c r="D19" s="39" t="s">
        <v>24</v>
      </c>
      <c r="E19" s="73">
        <v>210</v>
      </c>
      <c r="F19" s="6" t="s">
        <v>29</v>
      </c>
      <c r="G19" s="3">
        <v>20</v>
      </c>
      <c r="H19" s="73">
        <f>G19*50</f>
        <v>1000</v>
      </c>
      <c r="I19" s="65" t="s">
        <v>119</v>
      </c>
      <c r="J19" s="89">
        <f>16500+1800</f>
        <v>18300</v>
      </c>
      <c r="K19" s="47" t="s">
        <v>50</v>
      </c>
    </row>
    <row r="20" spans="2:11">
      <c r="B20" s="113"/>
      <c r="C20" s="41" t="s">
        <v>122</v>
      </c>
      <c r="D20" s="39" t="s">
        <v>23</v>
      </c>
      <c r="E20" s="73">
        <v>210</v>
      </c>
      <c r="F20" s="6" t="s">
        <v>28</v>
      </c>
      <c r="G20" s="3">
        <v>72</v>
      </c>
      <c r="H20" s="73">
        <f>G20*55</f>
        <v>3960</v>
      </c>
      <c r="I20" s="2" t="s">
        <v>72</v>
      </c>
      <c r="J20" s="73">
        <v>2600</v>
      </c>
      <c r="K20" s="28" t="s">
        <v>62</v>
      </c>
    </row>
    <row r="21" spans="2:11">
      <c r="B21" s="113"/>
      <c r="C21" s="41" t="s">
        <v>123</v>
      </c>
      <c r="D21" s="39" t="s">
        <v>23</v>
      </c>
      <c r="E21" s="73">
        <v>210</v>
      </c>
      <c r="F21" s="6" t="s">
        <v>28</v>
      </c>
      <c r="G21" s="3">
        <v>72</v>
      </c>
      <c r="H21" s="73">
        <f>G21*55</f>
        <v>3960</v>
      </c>
      <c r="I21" s="2" t="s">
        <v>72</v>
      </c>
      <c r="J21" s="73">
        <v>2600</v>
      </c>
      <c r="K21" s="28" t="s">
        <v>62</v>
      </c>
    </row>
    <row r="22" spans="2:11">
      <c r="B22" s="113"/>
      <c r="C22" s="41" t="s">
        <v>71</v>
      </c>
      <c r="D22" s="39" t="s">
        <v>23</v>
      </c>
      <c r="E22" s="73">
        <v>210</v>
      </c>
      <c r="F22" s="43" t="s">
        <v>29</v>
      </c>
      <c r="G22" s="15">
        <v>16</v>
      </c>
      <c r="H22" s="72">
        <f>G22*55</f>
        <v>880</v>
      </c>
      <c r="I22" s="42" t="s">
        <v>64</v>
      </c>
      <c r="J22" s="72">
        <v>2240</v>
      </c>
      <c r="K22" s="25" t="s">
        <v>47</v>
      </c>
    </row>
    <row r="23" spans="2:11">
      <c r="B23" s="113"/>
      <c r="C23" s="10" t="s">
        <v>49</v>
      </c>
      <c r="D23" s="39" t="s">
        <v>23</v>
      </c>
      <c r="E23" s="76">
        <v>210</v>
      </c>
      <c r="F23" s="43" t="s">
        <v>29</v>
      </c>
      <c r="G23" s="42">
        <v>16</v>
      </c>
      <c r="H23" s="76">
        <f>G23*60</f>
        <v>960</v>
      </c>
      <c r="I23" s="42" t="s">
        <v>51</v>
      </c>
      <c r="J23" s="76">
        <v>820</v>
      </c>
      <c r="K23" s="25" t="s">
        <v>35</v>
      </c>
    </row>
    <row r="24" spans="2:11">
      <c r="B24" s="113"/>
      <c r="C24" s="10" t="s">
        <v>76</v>
      </c>
      <c r="D24" s="44" t="s">
        <v>27</v>
      </c>
      <c r="E24" s="76">
        <v>200</v>
      </c>
      <c r="F24" s="43" t="s">
        <v>29</v>
      </c>
      <c r="G24" s="42">
        <v>40</v>
      </c>
      <c r="H24" s="76">
        <v>1600</v>
      </c>
      <c r="I24" s="42" t="s">
        <v>77</v>
      </c>
      <c r="J24" s="42">
        <v>300</v>
      </c>
      <c r="K24" s="25" t="s">
        <v>54</v>
      </c>
    </row>
    <row r="25" spans="2:11">
      <c r="B25" s="113"/>
      <c r="C25" s="10" t="s">
        <v>76</v>
      </c>
      <c r="D25" s="44" t="s">
        <v>27</v>
      </c>
      <c r="E25" s="76">
        <v>200</v>
      </c>
      <c r="F25" s="43" t="s">
        <v>29</v>
      </c>
      <c r="G25" s="42">
        <v>40</v>
      </c>
      <c r="H25" s="76">
        <v>1600</v>
      </c>
      <c r="I25" s="42" t="s">
        <v>77</v>
      </c>
      <c r="J25" s="42">
        <v>300</v>
      </c>
      <c r="K25" s="25" t="s">
        <v>54</v>
      </c>
    </row>
    <row r="26" spans="2:11">
      <c r="B26" s="113"/>
      <c r="C26" s="12" t="s">
        <v>120</v>
      </c>
      <c r="D26" s="40" t="s">
        <v>25</v>
      </c>
      <c r="E26" s="77">
        <v>100</v>
      </c>
      <c r="F26" s="6" t="s">
        <v>29</v>
      </c>
      <c r="G26" s="2">
        <v>12</v>
      </c>
      <c r="H26" s="73">
        <f t="shared" ref="H26:H37" si="3">G26*50</f>
        <v>600</v>
      </c>
      <c r="I26" s="2" t="s">
        <v>52</v>
      </c>
      <c r="J26" s="90">
        <v>4500</v>
      </c>
      <c r="K26" s="28" t="s">
        <v>30</v>
      </c>
    </row>
    <row r="27" spans="2:11">
      <c r="B27" s="113"/>
      <c r="C27" s="12" t="s">
        <v>121</v>
      </c>
      <c r="D27" s="40" t="s">
        <v>25</v>
      </c>
      <c r="E27" s="77">
        <v>100</v>
      </c>
      <c r="F27" s="6" t="s">
        <v>29</v>
      </c>
      <c r="G27" s="2">
        <v>12</v>
      </c>
      <c r="H27" s="73">
        <f t="shared" si="3"/>
        <v>600</v>
      </c>
      <c r="I27" s="2" t="s">
        <v>52</v>
      </c>
      <c r="J27" s="90">
        <v>4500</v>
      </c>
      <c r="K27" s="28" t="s">
        <v>30</v>
      </c>
    </row>
    <row r="28" spans="2:11">
      <c r="B28" s="113"/>
      <c r="C28" s="10" t="s">
        <v>48</v>
      </c>
      <c r="D28" s="44" t="s">
        <v>27</v>
      </c>
      <c r="E28" s="76">
        <v>200</v>
      </c>
      <c r="F28" s="43" t="s">
        <v>29</v>
      </c>
      <c r="G28" s="42">
        <v>40</v>
      </c>
      <c r="H28" s="76">
        <f t="shared" si="3"/>
        <v>2000</v>
      </c>
      <c r="I28" s="42" t="s">
        <v>53</v>
      </c>
      <c r="J28" s="76">
        <v>300</v>
      </c>
      <c r="K28" s="25" t="s">
        <v>54</v>
      </c>
    </row>
    <row r="29" spans="2:11">
      <c r="B29" s="113"/>
      <c r="C29" s="10" t="s">
        <v>48</v>
      </c>
      <c r="D29" s="44" t="s">
        <v>27</v>
      </c>
      <c r="E29" s="76">
        <v>200</v>
      </c>
      <c r="F29" s="43" t="s">
        <v>29</v>
      </c>
      <c r="G29" s="42">
        <v>40</v>
      </c>
      <c r="H29" s="76">
        <f t="shared" si="3"/>
        <v>2000</v>
      </c>
      <c r="I29" s="42" t="s">
        <v>53</v>
      </c>
      <c r="J29" s="76">
        <v>300</v>
      </c>
      <c r="K29" s="25" t="s">
        <v>54</v>
      </c>
    </row>
    <row r="30" spans="2:11">
      <c r="B30" s="113"/>
      <c r="C30" s="10" t="s">
        <v>73</v>
      </c>
      <c r="D30" s="44" t="s">
        <v>26</v>
      </c>
      <c r="E30" s="76">
        <v>0</v>
      </c>
      <c r="F30" s="43" t="s">
        <v>29</v>
      </c>
      <c r="G30" s="42">
        <v>12</v>
      </c>
      <c r="H30" s="76">
        <f t="shared" si="3"/>
        <v>600</v>
      </c>
      <c r="I30" s="42" t="s">
        <v>65</v>
      </c>
      <c r="J30" s="76">
        <v>420</v>
      </c>
      <c r="K30" s="25" t="s">
        <v>66</v>
      </c>
    </row>
    <row r="31" spans="2:11">
      <c r="B31" s="113"/>
      <c r="C31" s="10" t="s">
        <v>73</v>
      </c>
      <c r="D31" s="44" t="s">
        <v>26</v>
      </c>
      <c r="E31" s="76">
        <v>0</v>
      </c>
      <c r="F31" s="43" t="s">
        <v>29</v>
      </c>
      <c r="G31" s="42">
        <v>12</v>
      </c>
      <c r="H31" s="76">
        <f t="shared" si="3"/>
        <v>600</v>
      </c>
      <c r="I31" s="42" t="s">
        <v>65</v>
      </c>
      <c r="J31" s="76">
        <v>420</v>
      </c>
      <c r="K31" s="25" t="s">
        <v>66</v>
      </c>
    </row>
    <row r="32" spans="2:11">
      <c r="B32" s="113"/>
      <c r="C32" s="10" t="s">
        <v>39</v>
      </c>
      <c r="D32" s="44" t="s">
        <v>26</v>
      </c>
      <c r="E32" s="76">
        <v>0</v>
      </c>
      <c r="F32" s="43" t="s">
        <v>40</v>
      </c>
      <c r="G32" s="42">
        <v>8</v>
      </c>
      <c r="H32" s="76">
        <f t="shared" si="3"/>
        <v>400</v>
      </c>
      <c r="I32" s="42" t="s">
        <v>41</v>
      </c>
      <c r="J32" s="76">
        <f>260*1.5</f>
        <v>390</v>
      </c>
      <c r="K32" s="25" t="s">
        <v>55</v>
      </c>
    </row>
    <row r="33" spans="2:11">
      <c r="B33" s="113"/>
      <c r="C33" s="10" t="s">
        <v>39</v>
      </c>
      <c r="D33" s="44" t="s">
        <v>26</v>
      </c>
      <c r="E33" s="76">
        <v>0</v>
      </c>
      <c r="F33" s="43" t="s">
        <v>40</v>
      </c>
      <c r="G33" s="42">
        <v>8</v>
      </c>
      <c r="H33" s="76">
        <f t="shared" si="3"/>
        <v>400</v>
      </c>
      <c r="I33" s="42" t="s">
        <v>41</v>
      </c>
      <c r="J33" s="76">
        <f>260*1.5</f>
        <v>390</v>
      </c>
      <c r="K33" s="25" t="s">
        <v>55</v>
      </c>
    </row>
    <row r="34" spans="2:11">
      <c r="B34" s="113"/>
      <c r="C34" s="10" t="s">
        <v>45</v>
      </c>
      <c r="D34" s="44" t="s">
        <v>26</v>
      </c>
      <c r="E34" s="76">
        <v>0</v>
      </c>
      <c r="F34" s="43" t="s">
        <v>29</v>
      </c>
      <c r="G34" s="42">
        <v>24</v>
      </c>
      <c r="H34" s="76">
        <f t="shared" si="3"/>
        <v>1200</v>
      </c>
      <c r="I34" s="42" t="s">
        <v>42</v>
      </c>
      <c r="J34" s="76">
        <f>3100*1.5</f>
        <v>4650</v>
      </c>
      <c r="K34" s="25" t="s">
        <v>44</v>
      </c>
    </row>
    <row r="35" spans="2:11">
      <c r="B35" s="113"/>
      <c r="C35" s="10" t="s">
        <v>46</v>
      </c>
      <c r="D35" s="44" t="s">
        <v>26</v>
      </c>
      <c r="E35" s="76">
        <v>0</v>
      </c>
      <c r="F35" s="43" t="s">
        <v>29</v>
      </c>
      <c r="G35" s="42">
        <v>16</v>
      </c>
      <c r="H35" s="76">
        <f t="shared" si="3"/>
        <v>800</v>
      </c>
      <c r="I35" s="42" t="s">
        <v>43</v>
      </c>
      <c r="J35" s="76">
        <f>1800*1.5</f>
        <v>2700</v>
      </c>
      <c r="K35" s="25" t="s">
        <v>56</v>
      </c>
    </row>
    <row r="36" spans="2:11" ht="30">
      <c r="B36" s="113"/>
      <c r="C36" s="41" t="s">
        <v>14</v>
      </c>
      <c r="D36" s="59" t="s">
        <v>26</v>
      </c>
      <c r="E36" s="76">
        <v>0</v>
      </c>
      <c r="F36" s="60" t="s">
        <v>63</v>
      </c>
      <c r="G36" s="42">
        <v>16</v>
      </c>
      <c r="H36" s="76">
        <f t="shared" si="3"/>
        <v>800</v>
      </c>
      <c r="I36" s="42" t="s">
        <v>20</v>
      </c>
      <c r="J36" s="76">
        <v>650</v>
      </c>
      <c r="K36" s="25" t="s">
        <v>31</v>
      </c>
    </row>
    <row r="37" spans="2:11" ht="15.75" thickBot="1">
      <c r="B37" s="122"/>
      <c r="C37" s="61" t="s">
        <v>68</v>
      </c>
      <c r="D37" s="45" t="s">
        <v>26</v>
      </c>
      <c r="E37" s="78">
        <v>0</v>
      </c>
      <c r="F37" s="58" t="s">
        <v>40</v>
      </c>
      <c r="G37" s="58">
        <v>6</v>
      </c>
      <c r="H37" s="81">
        <f t="shared" si="3"/>
        <v>300</v>
      </c>
      <c r="I37" s="62" t="s">
        <v>69</v>
      </c>
      <c r="J37" s="62">
        <v>0</v>
      </c>
      <c r="K37" s="63" t="s">
        <v>70</v>
      </c>
    </row>
    <row r="38" spans="2:11" ht="15.75" thickTop="1">
      <c r="C38" s="109" t="s">
        <v>36</v>
      </c>
      <c r="D38" s="100"/>
      <c r="E38" s="79">
        <f>SUM(E5:E37)</f>
        <v>4340</v>
      </c>
      <c r="G38" s="33" t="s">
        <v>37</v>
      </c>
      <c r="H38" s="79">
        <f>SUM(H5:H37)</f>
        <v>40714.531600000002</v>
      </c>
      <c r="I38" s="33" t="s">
        <v>38</v>
      </c>
      <c r="J38" s="79">
        <f>SUM(J12:J37)</f>
        <v>85527.612500000003</v>
      </c>
    </row>
    <row r="39" spans="2:11">
      <c r="C39" s="33"/>
      <c r="D39" s="33"/>
      <c r="E39" s="31"/>
      <c r="G39" s="33"/>
      <c r="H39" s="31"/>
      <c r="I39" s="33"/>
      <c r="J39" s="31"/>
    </row>
    <row r="40" spans="2:11" ht="15.75" thickBot="1">
      <c r="E40" s="5"/>
      <c r="G40" s="5"/>
      <c r="H40" s="5"/>
      <c r="I40" s="5"/>
    </row>
    <row r="41" spans="2:11">
      <c r="G41" s="5"/>
      <c r="H41" s="5"/>
      <c r="I41" s="48" t="s">
        <v>21</v>
      </c>
      <c r="J41" s="51">
        <f>H38+J38+E38</f>
        <v>130582.1441</v>
      </c>
      <c r="K41" s="54" t="s">
        <v>19</v>
      </c>
    </row>
    <row r="42" spans="2:11">
      <c r="G42" s="5"/>
      <c r="H42" s="5"/>
      <c r="I42" s="49" t="s">
        <v>60</v>
      </c>
      <c r="J42" s="52">
        <v>5000</v>
      </c>
      <c r="K42" s="54"/>
    </row>
    <row r="43" spans="2:11">
      <c r="G43" s="5"/>
      <c r="H43" s="5"/>
      <c r="I43" s="49" t="s">
        <v>61</v>
      </c>
      <c r="J43" s="52">
        <v>3000</v>
      </c>
      <c r="K43" s="54"/>
    </row>
    <row r="44" spans="2:11">
      <c r="G44" s="5"/>
      <c r="H44" s="5"/>
      <c r="I44" s="49" t="s">
        <v>67</v>
      </c>
      <c r="J44" s="52">
        <v>630</v>
      </c>
      <c r="K44" s="54"/>
    </row>
    <row r="45" spans="2:11">
      <c r="G45" s="5"/>
      <c r="H45" s="5"/>
      <c r="I45" s="49" t="s">
        <v>125</v>
      </c>
      <c r="J45" s="52">
        <f>J41*0.2</f>
        <v>26116.428820000001</v>
      </c>
      <c r="K45" s="55"/>
    </row>
    <row r="46" spans="2:11">
      <c r="E46" s="5"/>
      <c r="G46" s="5"/>
      <c r="H46" s="5"/>
      <c r="I46" s="49" t="s">
        <v>32</v>
      </c>
      <c r="J46" s="52">
        <f>J41*0.03</f>
        <v>3917.4643230000001</v>
      </c>
      <c r="K46" s="55"/>
    </row>
    <row r="47" spans="2:11">
      <c r="E47" s="5"/>
      <c r="H47" s="5"/>
      <c r="I47" s="49" t="s">
        <v>16</v>
      </c>
      <c r="J47" s="52">
        <f>J46</f>
        <v>3917.4643230000001</v>
      </c>
      <c r="K47" s="55"/>
    </row>
    <row r="48" spans="2:11" ht="15.75" thickBot="1">
      <c r="E48" s="5"/>
      <c r="H48" s="5"/>
      <c r="I48" s="50" t="s">
        <v>17</v>
      </c>
      <c r="J48" s="53">
        <f>J41*0.09</f>
        <v>11752.392969</v>
      </c>
      <c r="K48" s="55"/>
    </row>
    <row r="49" spans="5:16" ht="15.75" thickBot="1">
      <c r="E49" s="5"/>
      <c r="I49" s="56" t="s">
        <v>18</v>
      </c>
      <c r="J49" s="57">
        <f>SUM(J41:J48)</f>
        <v>184915.894535</v>
      </c>
    </row>
    <row r="50" spans="5:16">
      <c r="N50" s="100"/>
      <c r="O50" s="100"/>
      <c r="P50" s="31"/>
    </row>
    <row r="51" spans="5:16">
      <c r="N51" s="100"/>
      <c r="O51" s="100"/>
    </row>
    <row r="52" spans="5:16">
      <c r="N52" s="100"/>
      <c r="O52" s="100"/>
      <c r="P52" s="32"/>
    </row>
    <row r="53" spans="5:16">
      <c r="N53" s="5"/>
      <c r="O53" s="5"/>
      <c r="P53" s="32"/>
    </row>
    <row r="54" spans="5:16">
      <c r="N54" s="5"/>
      <c r="O54" s="5"/>
      <c r="P54" s="32"/>
    </row>
    <row r="55" spans="5:16">
      <c r="N55" s="5"/>
      <c r="O55" s="5"/>
      <c r="P55" s="32"/>
    </row>
    <row r="56" spans="5:16">
      <c r="O56" s="5"/>
      <c r="P56" s="31"/>
    </row>
  </sheetData>
  <mergeCells count="14">
    <mergeCell ref="N50:O50"/>
    <mergeCell ref="N51:O51"/>
    <mergeCell ref="N52:O52"/>
    <mergeCell ref="B2:K2"/>
    <mergeCell ref="F3:H3"/>
    <mergeCell ref="D3:E3"/>
    <mergeCell ref="C38:D38"/>
    <mergeCell ref="C3:C4"/>
    <mergeCell ref="B5:B11"/>
    <mergeCell ref="B3:B4"/>
    <mergeCell ref="K3:K4"/>
    <mergeCell ref="I3:J3"/>
    <mergeCell ref="B18:B37"/>
    <mergeCell ref="B13:B17"/>
  </mergeCells>
  <phoneticPr fontId="2" type="noConversion"/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D11" sqref="D11"/>
    </sheetView>
  </sheetViews>
  <sheetFormatPr defaultRowHeight="15"/>
  <cols>
    <col min="5" max="5" width="16.5703125" customWidth="1"/>
    <col min="6" max="6" width="12.5703125" customWidth="1"/>
    <col min="13" max="13" width="11.28515625" bestFit="1" customWidth="1"/>
  </cols>
  <sheetData>
    <row r="1" spans="1:13" ht="15.75">
      <c r="C1" s="82" t="s">
        <v>88</v>
      </c>
      <c r="D1" s="82" t="s">
        <v>82</v>
      </c>
      <c r="E1" s="82" t="s">
        <v>81</v>
      </c>
      <c r="F1" s="82" t="s">
        <v>101</v>
      </c>
      <c r="G1" s="82" t="s">
        <v>100</v>
      </c>
      <c r="H1" s="82"/>
      <c r="I1" s="82" t="s">
        <v>104</v>
      </c>
      <c r="J1" s="82"/>
      <c r="K1" s="82" t="s">
        <v>114</v>
      </c>
      <c r="L1" s="82"/>
      <c r="M1" s="82"/>
    </row>
    <row r="2" spans="1:13" ht="15.75">
      <c r="A2" t="s">
        <v>89</v>
      </c>
      <c r="B2" t="s">
        <v>80</v>
      </c>
      <c r="C2" s="83" t="s">
        <v>83</v>
      </c>
      <c r="D2" s="82">
        <f>100*4</f>
        <v>400</v>
      </c>
      <c r="E2" s="84">
        <v>1.2</v>
      </c>
      <c r="F2" s="84">
        <f>54.5*1.5</f>
        <v>81.75</v>
      </c>
      <c r="G2" s="84">
        <v>60.5</v>
      </c>
      <c r="H2" s="84"/>
      <c r="I2" s="84">
        <f>(D2/100)*F2*0.15</f>
        <v>49.05</v>
      </c>
      <c r="J2" s="84"/>
      <c r="K2" s="84">
        <f>(E2*(D2/100))</f>
        <v>4.8</v>
      </c>
      <c r="L2" s="82"/>
      <c r="M2" s="85">
        <f>I2+I3+I16+I24+(G2*(K2+K3+K16+K24))</f>
        <v>2703.7</v>
      </c>
    </row>
    <row r="3" spans="1:13" ht="15.75">
      <c r="A3" t="s">
        <v>89</v>
      </c>
      <c r="B3" s="83" t="s">
        <v>85</v>
      </c>
      <c r="C3" s="83" t="s">
        <v>86</v>
      </c>
      <c r="D3" s="82">
        <f>100</f>
        <v>100</v>
      </c>
      <c r="E3" s="84">
        <v>0.1</v>
      </c>
      <c r="F3" s="84">
        <f>4.38*1.5</f>
        <v>6.57</v>
      </c>
      <c r="G3" s="84">
        <v>60.5</v>
      </c>
      <c r="H3" s="84"/>
      <c r="I3" s="84">
        <f>D3*F3*1.5</f>
        <v>985.5</v>
      </c>
      <c r="J3" s="84"/>
      <c r="K3" s="84">
        <f>(E3*D3)</f>
        <v>10</v>
      </c>
      <c r="L3" s="82"/>
      <c r="M3" s="85"/>
    </row>
    <row r="4" spans="1:13" ht="15.75">
      <c r="A4" t="s">
        <v>90</v>
      </c>
      <c r="B4" t="s">
        <v>80</v>
      </c>
      <c r="C4" s="83" t="s">
        <v>84</v>
      </c>
      <c r="D4" s="82">
        <f>40*5</f>
        <v>200</v>
      </c>
      <c r="E4" s="84">
        <v>2.7589999999999999</v>
      </c>
      <c r="F4" s="84">
        <f>265*1.5</f>
        <v>397.5</v>
      </c>
      <c r="G4" s="84">
        <v>60.5</v>
      </c>
      <c r="H4" s="84"/>
      <c r="I4" s="84">
        <f t="shared" ref="I4:I11" si="0">(D4/100)*F4*1.5</f>
        <v>1192.5</v>
      </c>
      <c r="J4" s="84"/>
      <c r="K4" s="84">
        <f>(E4*(D4/100))</f>
        <v>5.5179999999999998</v>
      </c>
      <c r="L4" s="82"/>
      <c r="M4" s="85">
        <f>I4+I5+I17+I25+(G2*(K4+K5+K17+K25))</f>
        <v>4942.9290000000001</v>
      </c>
    </row>
    <row r="5" spans="1:13" ht="15.75">
      <c r="A5" t="s">
        <v>90</v>
      </c>
      <c r="B5" s="83" t="s">
        <v>85</v>
      </c>
      <c r="C5" s="83" t="s">
        <v>87</v>
      </c>
      <c r="D5" s="82">
        <f>40</f>
        <v>40</v>
      </c>
      <c r="E5" s="84">
        <v>0.13300000000000001</v>
      </c>
      <c r="F5" s="84">
        <f>9.7*1.5</f>
        <v>14.549999999999999</v>
      </c>
      <c r="G5" s="84">
        <v>60.5</v>
      </c>
      <c r="H5" s="84"/>
      <c r="I5" s="84">
        <f t="shared" si="0"/>
        <v>8.73</v>
      </c>
      <c r="J5" s="84"/>
      <c r="K5" s="84">
        <f>(E5*D5)</f>
        <v>5.32</v>
      </c>
      <c r="L5" s="82"/>
      <c r="M5" s="85"/>
    </row>
    <row r="6" spans="1:13" ht="15.75">
      <c r="A6" t="s">
        <v>91</v>
      </c>
      <c r="B6" t="s">
        <v>80</v>
      </c>
      <c r="C6" s="83" t="s">
        <v>94</v>
      </c>
      <c r="D6" s="82">
        <f>D7*4</f>
        <v>720</v>
      </c>
      <c r="E6" s="84">
        <v>1.5089999999999999</v>
      </c>
      <c r="F6" s="84">
        <f>86.5*1.5</f>
        <v>129.75</v>
      </c>
      <c r="G6" s="84">
        <v>60.5</v>
      </c>
      <c r="H6" s="84"/>
      <c r="I6" s="84">
        <f t="shared" si="0"/>
        <v>1401.3000000000002</v>
      </c>
      <c r="J6" s="84"/>
      <c r="K6" s="84">
        <f>(E6*(D6/100))</f>
        <v>10.864799999999999</v>
      </c>
      <c r="L6" s="82"/>
      <c r="M6" s="85">
        <f>I6+I7+I18+I26+(G2*(K6+K7+K18+K26))</f>
        <v>4165.6004000000003</v>
      </c>
    </row>
    <row r="7" spans="1:13" ht="15.75">
      <c r="A7" t="s">
        <v>91</v>
      </c>
      <c r="B7" s="83" t="s">
        <v>85</v>
      </c>
      <c r="C7" s="83" t="s">
        <v>95</v>
      </c>
      <c r="D7" s="82">
        <v>180</v>
      </c>
      <c r="E7" s="84">
        <v>0.114</v>
      </c>
      <c r="F7" s="84">
        <f>5.9*1.5</f>
        <v>8.8500000000000014</v>
      </c>
      <c r="G7" s="84">
        <v>60.5</v>
      </c>
      <c r="H7" s="84"/>
      <c r="I7" s="84">
        <f t="shared" si="0"/>
        <v>23.895000000000003</v>
      </c>
      <c r="J7" s="84"/>
      <c r="K7" s="84">
        <f>(E7*D7)</f>
        <v>20.52</v>
      </c>
      <c r="L7" s="82"/>
      <c r="M7" s="85"/>
    </row>
    <row r="8" spans="1:13" ht="15.75">
      <c r="A8" t="s">
        <v>92</v>
      </c>
      <c r="B8" t="s">
        <v>80</v>
      </c>
      <c r="C8" s="83" t="s">
        <v>96</v>
      </c>
      <c r="D8" s="82">
        <f>D9*5</f>
        <v>900</v>
      </c>
      <c r="E8" s="84">
        <v>3.6360000000000001</v>
      </c>
      <c r="F8" s="84">
        <v>420</v>
      </c>
      <c r="G8" s="84">
        <v>60.5</v>
      </c>
      <c r="H8" s="84"/>
      <c r="I8" s="84">
        <f t="shared" si="0"/>
        <v>5670</v>
      </c>
      <c r="J8" s="84"/>
      <c r="K8" s="84">
        <f>(E8*(D8/100))</f>
        <v>32.724000000000004</v>
      </c>
      <c r="L8" s="82"/>
      <c r="M8" s="85">
        <f>I8+I9+I19+I27+(G2*(K8+K9+K19+K27))</f>
        <v>12543.406999999999</v>
      </c>
    </row>
    <row r="9" spans="1:13" ht="15.75">
      <c r="A9" t="s">
        <v>92</v>
      </c>
      <c r="B9" s="83" t="s">
        <v>85</v>
      </c>
      <c r="C9" s="83" t="s">
        <v>97</v>
      </c>
      <c r="D9" s="82">
        <v>180</v>
      </c>
      <c r="E9" s="84">
        <v>0.16</v>
      </c>
      <c r="F9" s="84">
        <f>16.1*1.5</f>
        <v>24.150000000000002</v>
      </c>
      <c r="G9" s="84">
        <v>60.5</v>
      </c>
      <c r="H9" s="84"/>
      <c r="I9" s="84">
        <f t="shared" si="0"/>
        <v>65.205000000000013</v>
      </c>
      <c r="J9" s="84"/>
      <c r="K9" s="84">
        <f>(E9*D9)</f>
        <v>28.8</v>
      </c>
      <c r="L9" s="82"/>
      <c r="M9" s="85"/>
    </row>
    <row r="10" spans="1:13" ht="15.75">
      <c r="A10" t="s">
        <v>93</v>
      </c>
      <c r="B10" t="s">
        <v>80</v>
      </c>
      <c r="C10" s="83" t="s">
        <v>98</v>
      </c>
      <c r="D10" s="82">
        <f>D11*4</f>
        <v>1080</v>
      </c>
      <c r="E10" s="84">
        <v>1.778</v>
      </c>
      <c r="F10" s="84">
        <v>134</v>
      </c>
      <c r="G10" s="84">
        <v>60.5</v>
      </c>
      <c r="H10" s="84"/>
      <c r="I10" s="84">
        <f t="shared" si="0"/>
        <v>2170.8000000000002</v>
      </c>
      <c r="J10" s="84"/>
      <c r="K10" s="84">
        <f>(E10*(D10/100))</f>
        <v>19.202400000000001</v>
      </c>
      <c r="L10" s="82"/>
      <c r="M10" s="85">
        <f>I10+I11+I20+I28+(G2*(K10+K11+K20+K28))</f>
        <v>6226.5077000000001</v>
      </c>
    </row>
    <row r="11" spans="1:13" ht="15.75">
      <c r="A11" t="s">
        <v>93</v>
      </c>
      <c r="B11" s="83" t="s">
        <v>85</v>
      </c>
      <c r="C11" s="83" t="s">
        <v>99</v>
      </c>
      <c r="D11" s="82">
        <v>270</v>
      </c>
      <c r="E11" s="84">
        <v>0.123</v>
      </c>
      <c r="F11" s="84">
        <f>7.1*1.5</f>
        <v>10.649999999999999</v>
      </c>
      <c r="G11" s="84">
        <v>60.5</v>
      </c>
      <c r="H11" s="84"/>
      <c r="I11" s="84">
        <f t="shared" si="0"/>
        <v>43.1325</v>
      </c>
      <c r="J11" s="84"/>
      <c r="K11" s="84">
        <f>(E11*D11)</f>
        <v>33.21</v>
      </c>
      <c r="L11" s="82"/>
      <c r="M11" s="85"/>
    </row>
    <row r="12" spans="1:13" ht="15.75">
      <c r="C12" s="83"/>
      <c r="D12" s="82"/>
      <c r="E12" s="82"/>
      <c r="F12" s="82"/>
      <c r="G12" s="82"/>
      <c r="H12" s="82"/>
      <c r="I12" s="82"/>
    </row>
    <row r="13" spans="1:13" ht="15.75">
      <c r="C13" s="83"/>
      <c r="D13" s="82"/>
      <c r="E13" s="82" t="s">
        <v>105</v>
      </c>
      <c r="F13" s="82"/>
      <c r="G13" s="82" t="s">
        <v>106</v>
      </c>
      <c r="H13" s="82"/>
      <c r="I13" s="82"/>
    </row>
    <row r="14" spans="1:13" ht="15.75">
      <c r="C14" s="83"/>
      <c r="D14" s="82"/>
      <c r="E14" s="82"/>
      <c r="F14" s="82"/>
      <c r="G14" s="82"/>
      <c r="H14" s="82"/>
      <c r="I14" s="82"/>
    </row>
    <row r="15" spans="1:13" ht="15.75">
      <c r="A15" t="s">
        <v>102</v>
      </c>
      <c r="C15" s="83"/>
      <c r="D15" s="82"/>
      <c r="E15" s="82"/>
      <c r="F15" s="82"/>
      <c r="G15" s="82"/>
      <c r="H15" s="82"/>
      <c r="I15" s="82"/>
    </row>
    <row r="16" spans="1:13" ht="15.75">
      <c r="A16" t="s">
        <v>89</v>
      </c>
      <c r="B16" t="s">
        <v>107</v>
      </c>
      <c r="C16" s="83" t="s">
        <v>111</v>
      </c>
      <c r="D16" s="82"/>
      <c r="E16" s="82">
        <v>2</v>
      </c>
      <c r="F16" s="82">
        <v>350</v>
      </c>
      <c r="G16" s="84">
        <v>60.5</v>
      </c>
      <c r="H16" s="82"/>
      <c r="I16" s="82">
        <f>F16*1.5</f>
        <v>525</v>
      </c>
      <c r="K16" s="82">
        <f>E16</f>
        <v>2</v>
      </c>
    </row>
    <row r="17" spans="1:11" ht="15.75">
      <c r="A17" t="s">
        <v>90</v>
      </c>
      <c r="B17" t="s">
        <v>108</v>
      </c>
      <c r="C17" s="83" t="s">
        <v>110</v>
      </c>
      <c r="D17" s="82"/>
      <c r="E17" s="82">
        <v>6</v>
      </c>
      <c r="F17" s="82">
        <v>875</v>
      </c>
      <c r="G17" s="84">
        <v>60.5</v>
      </c>
      <c r="H17" s="82"/>
      <c r="I17" s="82">
        <f>F17*1.5</f>
        <v>1312.5</v>
      </c>
      <c r="K17" s="82">
        <f t="shared" ref="K17:K20" si="1">E17</f>
        <v>6</v>
      </c>
    </row>
    <row r="18" spans="1:11" ht="15.75">
      <c r="A18" t="s">
        <v>91</v>
      </c>
      <c r="B18" t="s">
        <v>109</v>
      </c>
      <c r="C18" s="83" t="s">
        <v>111</v>
      </c>
      <c r="D18" s="82"/>
      <c r="E18" s="82">
        <v>2.5</v>
      </c>
      <c r="F18" s="82">
        <v>350</v>
      </c>
      <c r="G18" s="84">
        <v>60.5</v>
      </c>
      <c r="H18" s="82"/>
      <c r="I18" s="82">
        <f>F18*1.5</f>
        <v>525</v>
      </c>
      <c r="K18" s="82">
        <f t="shared" si="1"/>
        <v>2.5</v>
      </c>
    </row>
    <row r="19" spans="1:11" ht="15.75">
      <c r="A19" t="s">
        <v>92</v>
      </c>
      <c r="B19" t="s">
        <v>108</v>
      </c>
      <c r="C19" s="83" t="s">
        <v>110</v>
      </c>
      <c r="D19" s="82"/>
      <c r="E19" s="82">
        <v>6</v>
      </c>
      <c r="F19" s="82">
        <v>875</v>
      </c>
      <c r="G19" s="84">
        <v>60.5</v>
      </c>
      <c r="H19" s="82"/>
      <c r="I19" s="82">
        <f>F19*1.5</f>
        <v>1312.5</v>
      </c>
      <c r="K19" s="82">
        <f t="shared" si="1"/>
        <v>6</v>
      </c>
    </row>
    <row r="20" spans="1:11" ht="15.75">
      <c r="A20" t="s">
        <v>93</v>
      </c>
      <c r="B20" t="s">
        <v>109</v>
      </c>
      <c r="C20" s="83" t="s">
        <v>111</v>
      </c>
      <c r="D20" s="82"/>
      <c r="E20" s="82">
        <v>2.5</v>
      </c>
      <c r="F20" s="82">
        <v>350</v>
      </c>
      <c r="G20" s="84">
        <v>60.5</v>
      </c>
      <c r="H20" s="82"/>
      <c r="I20" s="82">
        <f>F20*1.5</f>
        <v>525</v>
      </c>
      <c r="K20" s="82">
        <f t="shared" si="1"/>
        <v>2.5</v>
      </c>
    </row>
    <row r="21" spans="1:11" ht="15.75">
      <c r="C21" s="83"/>
      <c r="D21" s="82"/>
      <c r="E21" s="82"/>
      <c r="F21" s="82"/>
      <c r="G21" s="82"/>
      <c r="H21" s="82"/>
      <c r="I21" s="82"/>
    </row>
    <row r="22" spans="1:11" ht="15.75">
      <c r="C22" s="83"/>
      <c r="D22" s="82"/>
      <c r="E22" s="82"/>
      <c r="F22" s="82"/>
      <c r="G22" s="82"/>
      <c r="H22" s="82"/>
      <c r="I22" s="82"/>
    </row>
    <row r="23" spans="1:11" ht="15.75">
      <c r="A23" t="s">
        <v>103</v>
      </c>
      <c r="C23" s="83"/>
      <c r="D23" s="82"/>
      <c r="E23" s="82"/>
      <c r="F23" s="82"/>
      <c r="G23" s="82"/>
      <c r="H23" s="82"/>
      <c r="I23" s="82"/>
    </row>
    <row r="24" spans="1:11" ht="15.75">
      <c r="A24" t="s">
        <v>89</v>
      </c>
      <c r="B24" t="s">
        <v>107</v>
      </c>
      <c r="C24" s="83" t="s">
        <v>111</v>
      </c>
      <c r="E24" s="82">
        <v>0.5</v>
      </c>
      <c r="F24" s="82">
        <v>65</v>
      </c>
      <c r="G24" s="84">
        <v>60.5</v>
      </c>
      <c r="H24" s="82"/>
      <c r="I24" s="82">
        <f>F24*1.5</f>
        <v>97.5</v>
      </c>
      <c r="J24" s="82"/>
      <c r="K24" s="82">
        <f t="shared" ref="K24:K28" si="2">E24</f>
        <v>0.5</v>
      </c>
    </row>
    <row r="25" spans="1:11" ht="15.75">
      <c r="A25" t="s">
        <v>90</v>
      </c>
      <c r="B25" t="s">
        <v>108</v>
      </c>
      <c r="C25" s="83" t="s">
        <v>110</v>
      </c>
      <c r="E25" s="82">
        <v>1</v>
      </c>
      <c r="F25" s="82">
        <v>900</v>
      </c>
      <c r="G25" s="84">
        <v>60.5</v>
      </c>
      <c r="H25" s="82"/>
      <c r="I25" s="82">
        <f>F25*1.5</f>
        <v>1350</v>
      </c>
      <c r="J25" s="82"/>
      <c r="K25" s="82">
        <f t="shared" si="2"/>
        <v>1</v>
      </c>
    </row>
    <row r="26" spans="1:11" ht="15.75">
      <c r="A26" t="s">
        <v>91</v>
      </c>
      <c r="B26" t="s">
        <v>109</v>
      </c>
      <c r="C26" s="83" t="s">
        <v>111</v>
      </c>
      <c r="E26" s="82">
        <v>0.75</v>
      </c>
      <c r="F26" s="82">
        <v>80</v>
      </c>
      <c r="G26" s="84">
        <v>60.5</v>
      </c>
      <c r="H26" s="82"/>
      <c r="I26" s="82">
        <f>F26*1.5</f>
        <v>120</v>
      </c>
      <c r="J26" s="82"/>
      <c r="K26" s="82">
        <f t="shared" si="2"/>
        <v>0.75</v>
      </c>
    </row>
    <row r="27" spans="1:11" ht="15.75">
      <c r="A27" t="s">
        <v>92</v>
      </c>
      <c r="B27" t="s">
        <v>108</v>
      </c>
      <c r="C27" s="83" t="s">
        <v>110</v>
      </c>
      <c r="E27" s="82">
        <v>1</v>
      </c>
      <c r="F27" s="82">
        <v>900</v>
      </c>
      <c r="G27" s="84">
        <v>60.5</v>
      </c>
      <c r="H27" s="82"/>
      <c r="I27" s="82">
        <f>F27*1.5</f>
        <v>1350</v>
      </c>
      <c r="J27" s="82"/>
      <c r="K27" s="82">
        <f t="shared" si="2"/>
        <v>1</v>
      </c>
    </row>
    <row r="28" spans="1:11" ht="15.75">
      <c r="A28" t="s">
        <v>93</v>
      </c>
      <c r="B28" t="s">
        <v>109</v>
      </c>
      <c r="C28" s="83" t="s">
        <v>111</v>
      </c>
      <c r="E28" s="82">
        <v>0.75</v>
      </c>
      <c r="F28" s="82">
        <v>80</v>
      </c>
      <c r="G28" s="84">
        <v>60.5</v>
      </c>
      <c r="H28" s="82"/>
      <c r="I28" s="82">
        <f>F28*1.5</f>
        <v>120</v>
      </c>
      <c r="J28" s="82"/>
      <c r="K28" s="82">
        <f t="shared" si="2"/>
        <v>0.75</v>
      </c>
    </row>
  </sheetData>
  <pageMargins left="0.7" right="0.7" top="0.75" bottom="0.75" header="0.3" footer="0.3"/>
  <pageSetup paperSize="13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Electrical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HPUser</dc:creator>
  <cp:lastModifiedBy>Windows User</cp:lastModifiedBy>
  <cp:lastPrinted>2022-12-19T20:05:24Z</cp:lastPrinted>
  <dcterms:created xsi:type="dcterms:W3CDTF">2022-12-01T02:23:31Z</dcterms:created>
  <dcterms:modified xsi:type="dcterms:W3CDTF">2022-12-19T20:10:22Z</dcterms:modified>
</cp:coreProperties>
</file>