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40" yWindow="-15" windowWidth="11625" windowHeight="14445"/>
  </bookViews>
  <sheets>
    <sheet name="Pollutant Loads" sheetId="8" r:id="rId1"/>
    <sheet name="10 Year event 1.25&quot; Cap W-G (2)" sheetId="7" r:id="rId2"/>
    <sheet name="10 Year event 1.25&quot; Cap W-Green" sheetId="6" r:id="rId3"/>
    <sheet name="10 Year event 1.25&quot; Capture" sheetId="5" r:id="rId4"/>
    <sheet name="10 Year event 10% Reduction24hr" sheetId="3" r:id="rId5"/>
    <sheet name="10 Year event NO Reduction24Hr" sheetId="4" r:id="rId6"/>
    <sheet name="25 Year event" sheetId="1" r:id="rId7"/>
    <sheet name="Intensity calcs" sheetId="2" r:id="rId8"/>
  </sheets>
  <definedNames>
    <definedName name="_xlnm.Print_Area" localSheetId="1">'10 Year event 1.25" Cap W-G (2)'!$A$1:$G$90</definedName>
    <definedName name="_xlnm.Print_Area" localSheetId="2">'10 Year event 1.25" Cap W-Green'!$A$1:$G$94</definedName>
    <definedName name="_xlnm.Print_Area" localSheetId="3">'10 Year event 1.25" Capture'!$A$1:$G$73</definedName>
    <definedName name="_xlnm.Print_Area" localSheetId="4">'10 Year event 10% Reduction24hr'!$A$1:$G$87</definedName>
    <definedName name="_xlnm.Print_Area" localSheetId="5">'10 Year event NO Reduction24Hr'!$A$1:$G$87</definedName>
    <definedName name="_xlnm.Print_Area" localSheetId="6">'25 Year event'!$A$1:$G$50</definedName>
    <definedName name="_xlnm.Print_Area" localSheetId="0">'Pollutant Loads'!$A$65:$F$92</definedName>
  </definedNames>
  <calcPr calcId="124519"/>
</workbook>
</file>

<file path=xl/calcChain.xml><?xml version="1.0" encoding="utf-8"?>
<calcChain xmlns="http://schemas.openxmlformats.org/spreadsheetml/2006/main">
  <c r="E57" i="8"/>
  <c r="D57"/>
  <c r="C57"/>
  <c r="E56"/>
  <c r="E55"/>
  <c r="E54"/>
  <c r="D56"/>
  <c r="D55"/>
  <c r="D54"/>
  <c r="C55"/>
  <c r="C54"/>
  <c r="B56"/>
  <c r="C56" s="1"/>
  <c r="B55"/>
  <c r="B54"/>
  <c r="B45"/>
  <c r="E80"/>
  <c r="D80"/>
  <c r="C80"/>
  <c r="C39"/>
  <c r="C58" l="1"/>
  <c r="F58"/>
  <c r="E58"/>
  <c r="D58"/>
  <c r="G14"/>
  <c r="G13"/>
  <c r="B47" s="1"/>
  <c r="G12"/>
  <c r="B46" s="1"/>
  <c r="G11"/>
  <c r="B16"/>
  <c r="D14"/>
  <c r="D13"/>
  <c r="D12"/>
  <c r="D11"/>
  <c r="D6"/>
  <c r="C54" i="6"/>
  <c r="C33"/>
  <c r="C33" i="7"/>
  <c r="K26" i="2"/>
  <c r="K31"/>
  <c r="K24"/>
  <c r="K23"/>
  <c r="F45" i="7"/>
  <c r="F24"/>
  <c r="E46" i="8" l="1"/>
  <c r="F46"/>
  <c r="C46"/>
  <c r="D46"/>
  <c r="D88"/>
  <c r="C88"/>
  <c r="B88"/>
  <c r="E88"/>
  <c r="E87"/>
  <c r="D87"/>
  <c r="B87"/>
  <c r="C87"/>
  <c r="D45"/>
  <c r="F45"/>
  <c r="E45"/>
  <c r="C45"/>
  <c r="E48"/>
  <c r="B90"/>
  <c r="E90"/>
  <c r="C48"/>
  <c r="F48"/>
  <c r="D48"/>
  <c r="D90"/>
  <c r="C90"/>
  <c r="F47"/>
  <c r="D47"/>
  <c r="E47"/>
  <c r="E49" s="1"/>
  <c r="C47"/>
  <c r="E89"/>
  <c r="B89"/>
  <c r="D16"/>
  <c r="D89"/>
  <c r="C89"/>
  <c r="B80"/>
  <c r="D39"/>
  <c r="F39"/>
  <c r="E39"/>
  <c r="G16"/>
  <c r="K25" i="2"/>
  <c r="K30"/>
  <c r="K32" s="1"/>
  <c r="K33" s="1"/>
  <c r="C54" i="7" s="1"/>
  <c r="B92" i="8" l="1"/>
  <c r="F49"/>
  <c r="D92"/>
  <c r="C49"/>
  <c r="C92"/>
  <c r="E92"/>
  <c r="D49"/>
  <c r="E72" i="7"/>
  <c r="F70"/>
  <c r="D64"/>
  <c r="F64" s="1"/>
  <c r="C52"/>
  <c r="D45"/>
  <c r="B46" s="1"/>
  <c r="F43"/>
  <c r="F41"/>
  <c r="F39"/>
  <c r="C31"/>
  <c r="D24"/>
  <c r="B25" s="1"/>
  <c r="C32" s="1"/>
  <c r="F22"/>
  <c r="F20"/>
  <c r="F18"/>
  <c r="B56" l="1"/>
  <c r="B35"/>
  <c r="B80" s="1"/>
  <c r="E81" s="1"/>
  <c r="D84" s="1"/>
  <c r="C53"/>
  <c r="C51"/>
  <c r="C30"/>
  <c r="D64" i="6"/>
  <c r="F64" s="1"/>
  <c r="F74"/>
  <c r="E76"/>
  <c r="E73"/>
  <c r="C52"/>
  <c r="D45"/>
  <c r="B46" s="1"/>
  <c r="C51" s="1"/>
  <c r="F43"/>
  <c r="F41"/>
  <c r="F39"/>
  <c r="C31"/>
  <c r="D24"/>
  <c r="B25" s="1"/>
  <c r="F22"/>
  <c r="F20"/>
  <c r="F18"/>
  <c r="E66" i="5"/>
  <c r="F64"/>
  <c r="D64"/>
  <c r="D59"/>
  <c r="F24" i="6" l="1"/>
  <c r="C53"/>
  <c r="F45"/>
  <c r="B56" s="1"/>
  <c r="C30"/>
  <c r="C32"/>
  <c r="B35"/>
  <c r="B84" s="1"/>
  <c r="E85" s="1"/>
  <c r="D88" s="1"/>
  <c r="F70"/>
  <c r="F59" i="5"/>
  <c r="C58"/>
  <c r="C54"/>
  <c r="C52"/>
  <c r="D45"/>
  <c r="B46" s="1"/>
  <c r="F43"/>
  <c r="F41"/>
  <c r="F39"/>
  <c r="C33"/>
  <c r="C31"/>
  <c r="D24"/>
  <c r="B25" s="1"/>
  <c r="F22"/>
  <c r="F20"/>
  <c r="F18"/>
  <c r="C59" i="4"/>
  <c r="E59" s="1"/>
  <c r="C58"/>
  <c r="C54"/>
  <c r="C52"/>
  <c r="B46"/>
  <c r="C53" s="1"/>
  <c r="D45"/>
  <c r="F43"/>
  <c r="F41"/>
  <c r="F39"/>
  <c r="C33"/>
  <c r="C31"/>
  <c r="D24"/>
  <c r="B25" s="1"/>
  <c r="C32" s="1"/>
  <c r="F22"/>
  <c r="F20"/>
  <c r="F18"/>
  <c r="C54" i="3"/>
  <c r="C33"/>
  <c r="C59"/>
  <c r="E59" s="1"/>
  <c r="C58"/>
  <c r="C52"/>
  <c r="D45"/>
  <c r="B46" s="1"/>
  <c r="F43"/>
  <c r="F41"/>
  <c r="F39"/>
  <c r="C31"/>
  <c r="D24"/>
  <c r="B25" s="1"/>
  <c r="F22"/>
  <c r="F20"/>
  <c r="F18"/>
  <c r="F18" i="1"/>
  <c r="F20"/>
  <c r="F22"/>
  <c r="D24"/>
  <c r="B25" s="1"/>
  <c r="F24"/>
  <c r="C31"/>
  <c r="F39"/>
  <c r="F41"/>
  <c r="F43"/>
  <c r="D45"/>
  <c r="B46"/>
  <c r="C51" s="1"/>
  <c r="C52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C30" i="1" l="1"/>
  <c r="C32"/>
  <c r="C53" i="3"/>
  <c r="C53" i="1"/>
  <c r="F24" i="4"/>
  <c r="B35" s="1"/>
  <c r="F45" i="1"/>
  <c r="F45" i="4"/>
  <c r="B56" s="1"/>
  <c r="E63" i="5"/>
  <c r="C53"/>
  <c r="F24"/>
  <c r="F45"/>
  <c r="B56" s="1"/>
  <c r="C30"/>
  <c r="C32"/>
  <c r="B35"/>
  <c r="C51"/>
  <c r="C30" i="4"/>
  <c r="C51"/>
  <c r="C32" i="3"/>
  <c r="C30"/>
  <c r="F24"/>
  <c r="B35" s="1"/>
  <c r="F45"/>
  <c r="B56" s="1"/>
  <c r="C61" s="1"/>
  <c r="C51"/>
  <c r="B56" i="1"/>
  <c r="B35"/>
  <c r="F35" s="1"/>
  <c r="B73" s="1"/>
  <c r="E74" s="1"/>
  <c r="D77" s="1"/>
  <c r="C61" i="4" l="1"/>
  <c r="C64" s="1"/>
  <c r="C65" s="1"/>
  <c r="C63"/>
  <c r="B77" s="1"/>
  <c r="E78" s="1"/>
  <c r="D81" s="1"/>
  <c r="F35" i="3"/>
  <c r="C63" s="1"/>
  <c r="C58" i="1"/>
  <c r="C59" s="1"/>
  <c r="E62" s="1"/>
  <c r="E68" i="4" l="1"/>
  <c r="E65"/>
  <c r="C64" i="3"/>
  <c r="C65" s="1"/>
  <c r="E65" s="1"/>
  <c r="B77"/>
  <c r="E78" s="1"/>
  <c r="D81" s="1"/>
  <c r="E68" l="1"/>
</calcChain>
</file>

<file path=xl/sharedStrings.xml><?xml version="1.0" encoding="utf-8"?>
<sst xmlns="http://schemas.openxmlformats.org/spreadsheetml/2006/main" count="1053" uniqueCount="254">
  <si>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</si>
  <si>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</si>
  <si>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</si>
  <si>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</si>
  <si>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</si>
  <si>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</si>
  <si>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</si>
  <si>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</si>
  <si>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</si>
  <si>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</si>
  <si>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</si>
  <si>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</si>
  <si>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</si>
  <si>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</si>
  <si>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</si>
  <si>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</si>
  <si>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</si>
  <si>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</si>
  <si>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</si>
  <si>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</si>
  <si>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</si>
  <si>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</si>
  <si>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</si>
  <si>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</si>
  <si>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</si>
  <si>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</si>
  <si>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</si>
  <si>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</si>
  <si>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</si>
  <si>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</si>
  <si>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</si>
  <si>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</si>
  <si>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</si>
  <si>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</si>
  <si>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</si>
  <si>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</si>
  <si>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</si>
  <si>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</si>
  <si>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</si>
  <si>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</si>
  <si>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</si>
  <si>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</si>
  <si>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</si>
  <si>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</si>
  <si>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</si>
  <si>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t xml:space="preserve"> cfs</t>
  </si>
  <si>
    <t xml:space="preserve"> </t>
  </si>
  <si>
    <t>10% reduction</t>
  </si>
  <si>
    <t xml:space="preserve">POST DEVELOPMENT </t>
  </si>
  <si>
    <t>DETENTION REQUIREMENTS</t>
  </si>
  <si>
    <t>Detention required</t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</si>
  <si>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</si>
  <si>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</si>
  <si>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</si>
  <si>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</si>
  <si>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</si>
  <si>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</si>
  <si>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</si>
  <si>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</si>
  <si>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</si>
  <si>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</si>
  <si>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</si>
  <si>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</si>
  <si>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</si>
  <si>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</si>
  <si>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</si>
  <si>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</si>
  <si>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</si>
  <si>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</si>
  <si>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</si>
  <si>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</si>
  <si>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</si>
  <si>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</si>
  <si>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</si>
  <si>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</si>
  <si>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</si>
  <si>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</si>
  <si>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</si>
  <si>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</si>
  <si>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</si>
  <si>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</si>
  <si>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</si>
  <si>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</si>
  <si>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</si>
  <si>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</si>
  <si>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</si>
  <si>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</si>
  <si>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</si>
  <si>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</si>
  <si>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</si>
  <si>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</si>
  <si>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</si>
  <si>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</si>
  <si>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</si>
  <si>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</si>
  <si>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</si>
  <si>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</si>
  <si>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</si>
  <si>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</si>
  <si>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</si>
  <si>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</si>
  <si>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</si>
  <si>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</si>
  <si>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</si>
  <si>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</si>
  <si>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</si>
  <si>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</si>
  <si>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</si>
  <si>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</si>
  <si>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</si>
  <si>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</si>
  <si>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</si>
  <si>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</si>
  <si>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</si>
  <si>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</si>
  <si>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</si>
  <si>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</si>
  <si>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</si>
  <si>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</si>
  <si>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</si>
  <si>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</si>
  <si>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</si>
  <si>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</si>
  <si>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</si>
  <si>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</si>
  <si>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1</t>
    </r>
    <r>
      <rPr>
        <b/>
        <sz val="10"/>
        <rFont val="ARchitxt"/>
      </rPr>
      <t xml:space="preserve"> = 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</si>
  <si>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Aci</t>
    </r>
  </si>
  <si>
    <r>
      <t>Q</t>
    </r>
    <r>
      <rPr>
        <b/>
        <vertAlign val="subscript"/>
        <sz val="10"/>
        <rFont val="ARchitxt"/>
      </rPr>
      <t>2</t>
    </r>
    <r>
      <rPr>
        <b/>
        <sz val="10"/>
        <rFont val="ARchitxt"/>
      </rPr>
      <t xml:space="preserve"> = </t>
    </r>
  </si>
  <si>
    <r>
      <t>Q</t>
    </r>
    <r>
      <rPr>
        <vertAlign val="subscript"/>
        <sz val="10"/>
        <rFont val="ARchitxt"/>
      </rPr>
      <t>2</t>
    </r>
    <r>
      <rPr>
        <sz val="10"/>
        <rFont val="ARchitxt"/>
      </rPr>
      <t>-Q</t>
    </r>
    <r>
      <rPr>
        <vertAlign val="subscript"/>
        <sz val="10"/>
        <rFont val="ARchitxt"/>
      </rPr>
      <t>1</t>
    </r>
  </si>
  <si>
    <r>
      <t xml:space="preserve">1.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31.1, pg. 1036</t>
    </r>
  </si>
  <si>
    <r>
      <t xml:space="preserve">2.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Tbl. B, pg. 18-02</t>
    </r>
  </si>
  <si>
    <r>
      <t xml:space="preserve">3. Seelye, Elwyn E.  </t>
    </r>
    <r>
      <rPr>
        <u/>
        <sz val="10"/>
        <rFont val="ARchitxt"/>
      </rPr>
      <t>Data Book for Civil Engineers.</t>
    </r>
    <r>
      <rPr>
        <sz val="10"/>
        <rFont val="ARchitxt"/>
      </rPr>
      <t xml:space="preserve"> Vol.1  1960.  Fig.B, pg. 18-01</t>
    </r>
  </si>
  <si>
    <r>
      <t xml:space="preserve">4.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Tbl. 31.2 Regan Equation (</t>
    </r>
    <r>
      <rPr>
        <i/>
        <sz val="10"/>
        <rFont val="ARchitxt"/>
      </rPr>
      <t>n</t>
    </r>
    <r>
      <rPr>
        <sz val="10"/>
        <rFont val="ARchitxt"/>
      </rPr>
      <t>=0.013)</t>
    </r>
  </si>
  <si>
    <r>
      <t xml:space="preserve">5. Chen, W.F.  </t>
    </r>
    <r>
      <rPr>
        <u/>
        <sz val="10"/>
        <rFont val="ARchitxt"/>
      </rPr>
      <t>The Civil Engineering Handbook.</t>
    </r>
    <r>
      <rPr>
        <sz val="10"/>
        <rFont val="ARchitxt"/>
      </rPr>
      <t xml:space="preserve">  1995.  Eq.# 28.32, pg. 969</t>
    </r>
  </si>
  <si>
    <t>New Condo's</t>
  </si>
  <si>
    <t xml:space="preserve">10 Year Frequency </t>
  </si>
  <si>
    <r>
      <t>CAPTURE THE 1</t>
    </r>
    <r>
      <rPr>
        <vertAlign val="superscript"/>
        <sz val="10"/>
        <rFont val="ARchitxt"/>
      </rPr>
      <t>ST</t>
    </r>
    <r>
      <rPr>
        <sz val="10"/>
        <rFont val="ARchitxt"/>
      </rPr>
      <t xml:space="preserve"> 1.25" </t>
    </r>
  </si>
  <si>
    <t>" OF A 10 YEAR STORM OVER 24-HR PERIOD</t>
  </si>
  <si>
    <t xml:space="preserve">where:           A= </t>
  </si>
  <si>
    <t xml:space="preserve">                   g=           </t>
  </si>
  <si>
    <t xml:space="preserve">                   c=           </t>
  </si>
  <si>
    <t>CAPTURE REQUIREMENTS</t>
  </si>
  <si>
    <t>CAPTURE &amp; DETENTION REQUIREMENTS FOR A 10 YEAR STORM OVER 24-HR PERIOD</t>
  </si>
  <si>
    <t>CAPTURE STORAGE</t>
  </si>
  <si>
    <t>Outflow rate = Q1 - 10%</t>
  </si>
  <si>
    <t>INFLOW FOR A 10 YEAR STORM OVER 24-HR PERIOD</t>
  </si>
  <si>
    <t>Total Inflow rate = Q2</t>
  </si>
  <si>
    <t>Capture and 24 hr Detention Storage</t>
  </si>
  <si>
    <t>cuft          or</t>
  </si>
  <si>
    <t>Gallons</t>
  </si>
  <si>
    <t xml:space="preserve">Outflow Q = </t>
  </si>
  <si>
    <t>Dimensions of Storage =</t>
  </si>
  <si>
    <t xml:space="preserve">                                    [4] TC=                                    </t>
  </si>
  <si>
    <t xml:space="preserve">PRIOR TO DEVELOPMENT </t>
  </si>
  <si>
    <t xml:space="preserve"> 10% reduction</t>
  </si>
  <si>
    <t xml:space="preserve">                                         [5] A=</t>
  </si>
  <si>
    <t>Outflow rate = Q1</t>
  </si>
  <si>
    <t>Storage rate = Inflow rate - outflow rate</t>
  </si>
  <si>
    <t>Josephine St. Condo's</t>
  </si>
  <si>
    <t xml:space="preserve">Capture the 1st 1.25" of rainfall </t>
  </si>
  <si>
    <t>Storage = 1.25"/12 x sqft of Watertight Surface</t>
  </si>
  <si>
    <t>cuft      or</t>
  </si>
  <si>
    <t>Brick Pavers</t>
  </si>
  <si>
    <t>Dimensions of Storage =  Arch Conc Pipe = Equiv 48" Round Pipe</t>
  </si>
  <si>
    <t xml:space="preserve">Arch Pipe Length Required with 100% Storage Capacity  = </t>
  </si>
  <si>
    <t>Full Flow Area s.f.</t>
  </si>
  <si>
    <t>LANDSCAPE INFILTRATION</t>
  </si>
  <si>
    <t>776 s.f.</t>
  </si>
  <si>
    <t>Area</t>
  </si>
  <si>
    <t>Lanscaping</t>
  </si>
  <si>
    <t>Soil Type</t>
  </si>
  <si>
    <t>Cubic Feet Infiltration / HR</t>
  </si>
  <si>
    <t>Gal Infiltraion / Hr</t>
  </si>
  <si>
    <t>Turf</t>
  </si>
  <si>
    <t>Planting Area</t>
  </si>
  <si>
    <t>3,445 s.f.</t>
  </si>
  <si>
    <t>A</t>
  </si>
  <si>
    <t>131 gph</t>
  </si>
  <si>
    <t>2,190 gph</t>
  </si>
  <si>
    <t>Total</t>
  </si>
  <si>
    <t>310.28 cf/hr (0.0862 cfs)</t>
  </si>
  <si>
    <t>2,321 gph</t>
  </si>
  <si>
    <t>Capture the 1st 1.25" of rainfall of a 10 year storm over a 24-hr period</t>
  </si>
  <si>
    <t>17.46 cu ft / hr</t>
  </si>
  <si>
    <t>292.82 cu ft / hr</t>
  </si>
  <si>
    <t>Since the Landscaping Infiltration can handle 310.28 cu ft/hr the storage requirement can be reduced</t>
  </si>
  <si>
    <t>by this amount:</t>
  </si>
  <si>
    <t>1750.8 - (310.28 cu ft / hr x 1.86 hrs) = 1173.7 cu ft of storage</t>
  </si>
  <si>
    <t xml:space="preserve">New Storage Volume = </t>
  </si>
  <si>
    <t>Draining a volume of this size using the Pre-Devlopement Run-Off Rate of 0.262 cfs would take =</t>
  </si>
  <si>
    <t>1750.8 cuft / 0.262 cfs = 6682 seconds or 111.4 minutes or 1.86 hrs</t>
  </si>
  <si>
    <t>Dimensions of Rectangular Storage =</t>
  </si>
  <si>
    <t>Storage using an Arch Conc Pipe = Equiv 48" Round Pipe with an area</t>
  </si>
  <si>
    <t xml:space="preserve">                               [5] A=</t>
  </si>
  <si>
    <t xml:space="preserve">                       g=           </t>
  </si>
  <si>
    <t xml:space="preserve">                       c=           </t>
  </si>
  <si>
    <t>Q =</t>
  </si>
  <si>
    <t>CALCULATE THE SIZE ORIFICE TO RESTRICT FLOW</t>
  </si>
  <si>
    <t xml:space="preserve">REQUIRED SIZE ORIFICE = </t>
  </si>
  <si>
    <t>Storage using an Arch Conc Pipe = Equiv 42" Round Pipe with an area</t>
  </si>
  <si>
    <t>Josephine Condos</t>
  </si>
  <si>
    <t>Prior 10y TC =</t>
  </si>
  <si>
    <t>-</t>
  </si>
  <si>
    <t>x</t>
  </si>
  <si>
    <r>
      <t xml:space="preserve">Expected rainfall intensity @ TC  </t>
    </r>
    <r>
      <rPr>
        <i/>
        <sz val="10"/>
        <rFont val="Arial"/>
        <family val="2"/>
      </rPr>
      <t>i</t>
    </r>
    <r>
      <rPr>
        <sz val="10"/>
        <rFont val="Arial"/>
        <family val="2"/>
      </rPr>
      <t xml:space="preserve"> = </t>
    </r>
  </si>
  <si>
    <t>Post 10y TC =</t>
  </si>
  <si>
    <t>D</t>
  </si>
  <si>
    <t>Existing Conditions</t>
  </si>
  <si>
    <t>s.f.</t>
  </si>
  <si>
    <t>Acres</t>
  </si>
  <si>
    <t>%</t>
  </si>
  <si>
    <t>Proposed Land Cover</t>
  </si>
  <si>
    <t>Roofs</t>
  </si>
  <si>
    <t>Impervious Paving</t>
  </si>
  <si>
    <t>Pervious Pavement</t>
  </si>
  <si>
    <t>Lawns/Landscaping</t>
  </si>
  <si>
    <t>Estimated Pre-Developed Pollutant Loads</t>
  </si>
  <si>
    <t>TN (lbs/yr)</t>
  </si>
  <si>
    <t>TP (lbs/yr)</t>
  </si>
  <si>
    <t>TSS (lbs/yr)</t>
  </si>
  <si>
    <t>Estimated Post-Developed Pullutant Loads w/o BMPs</t>
  </si>
  <si>
    <t>Estimated Post-Developed Pullutant Loads with BMPs</t>
  </si>
  <si>
    <t>L=0.20 P Rv C A</t>
  </si>
  <si>
    <t>L = Load of a pollutant in pounds per year;</t>
  </si>
  <si>
    <t>P = Rainfall depth per year (inches);</t>
  </si>
  <si>
    <t>A = Area of the development site (acres).</t>
  </si>
  <si>
    <t>Pollutants</t>
  </si>
  <si>
    <t xml:space="preserve">C = Flow-weighted mean concentration of the pollutant in urban runoff (mg/l); </t>
  </si>
  <si>
    <t>TSS</t>
  </si>
  <si>
    <t>mg/l</t>
  </si>
  <si>
    <t>BOD</t>
  </si>
  <si>
    <t>TP</t>
  </si>
  <si>
    <t>TN</t>
  </si>
  <si>
    <t>I = Site imperviousness (i.e., I = 75 if site is 75% impervious);</t>
  </si>
  <si>
    <t>Rv</t>
  </si>
  <si>
    <t>Site Conditions</t>
  </si>
  <si>
    <t>Annual Rainfall in inches</t>
  </si>
  <si>
    <t>inches</t>
  </si>
  <si>
    <t>BOD (lbs/yr)</t>
  </si>
  <si>
    <t>L = 0.226 * R * C * A</t>
  </si>
  <si>
    <t>R = Annual runoff (inches)</t>
  </si>
  <si>
    <t>C = Pollutant concentration (mg/l)</t>
  </si>
  <si>
    <t>A = Area (acres)</t>
  </si>
  <si>
    <t>0.226 = Unit conversion factor</t>
  </si>
  <si>
    <t>L = Annual load (lbs)</t>
  </si>
  <si>
    <t>Total Suspended Solids</t>
  </si>
  <si>
    <t>Total Phosphorus</t>
  </si>
  <si>
    <t>Total Nitrogen</t>
  </si>
  <si>
    <t>Biochemical oxygen demand</t>
  </si>
  <si>
    <t>Totals</t>
  </si>
  <si>
    <t>Totals :</t>
  </si>
  <si>
    <t>Simple Method to Calculate Chemical Loads Annually</t>
  </si>
  <si>
    <t>Rv = Runoff coefficient, which expresses the fraction of     rainfall which is converted into runoff. Rv = 0.05 + 0.009(I);</t>
  </si>
  <si>
    <t>Estimated Post-Developed Pullutant Loads before adding BMPs</t>
  </si>
</sst>
</file>

<file path=xl/styles.xml><?xml version="1.0" encoding="utf-8"?>
<styleSheet xmlns="http://schemas.openxmlformats.org/spreadsheetml/2006/main">
  <numFmts count="6">
    <numFmt numFmtId="164" formatCode="0.000_)"/>
    <numFmt numFmtId="165" formatCode="0.00_)"/>
    <numFmt numFmtId="166" formatCode="0.0000_)"/>
    <numFmt numFmtId="167" formatCode="0.0_)"/>
    <numFmt numFmtId="168" formatCode="0.000"/>
    <numFmt numFmtId="169" formatCode="0.0000"/>
  </numFmts>
  <fonts count="25"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chitxt"/>
    </font>
    <font>
      <b/>
      <sz val="10"/>
      <name val="ARchitxt"/>
    </font>
    <font>
      <b/>
      <sz val="14"/>
      <name val="ARchitxt"/>
    </font>
    <font>
      <b/>
      <sz val="12"/>
      <name val="ARchitxt"/>
    </font>
    <font>
      <b/>
      <vertAlign val="subscript"/>
      <sz val="10"/>
      <name val="ARchitxt"/>
    </font>
    <font>
      <b/>
      <sz val="10"/>
      <color indexed="10"/>
      <name val="ARchitxt"/>
    </font>
    <font>
      <sz val="8"/>
      <name val="ARchitxt"/>
    </font>
    <font>
      <vertAlign val="subscript"/>
      <sz val="10"/>
      <name val="ARchitxt"/>
    </font>
    <font>
      <u/>
      <sz val="10"/>
      <name val="ARchitxt"/>
    </font>
    <font>
      <i/>
      <sz val="10"/>
      <name val="ARchitxt"/>
    </font>
    <font>
      <vertAlign val="superscript"/>
      <sz val="10"/>
      <name val="ARchitxt"/>
    </font>
    <font>
      <b/>
      <sz val="10"/>
      <name val="Arial"/>
      <family val="2"/>
    </font>
    <font>
      <i/>
      <sz val="10"/>
      <name val="Arial"/>
      <family val="2"/>
    </font>
    <font>
      <sz val="10"/>
      <name val="times roman "/>
    </font>
    <font>
      <sz val="12"/>
      <name val="Times New Roman"/>
      <family val="1"/>
    </font>
    <font>
      <sz val="12"/>
      <color rgb="FF333333"/>
      <name val="Times New Roman"/>
      <family val="1"/>
    </font>
    <font>
      <sz val="12"/>
      <color rgb="FF00000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99CC"/>
        <bgColor indexed="26"/>
      </patternFill>
    </fill>
    <fill>
      <patternFill patternType="solid">
        <fgColor rgb="FF00B050"/>
        <bgColor indexed="29"/>
      </patternFill>
    </fill>
  </fills>
  <borders count="135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 style="thick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double">
        <color indexed="64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/>
      <top style="thick">
        <color indexed="8"/>
      </top>
      <bottom/>
      <diagonal/>
    </border>
    <border>
      <left/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/>
      <bottom style="thick">
        <color indexed="8"/>
      </bottom>
      <diagonal/>
    </border>
    <border>
      <left/>
      <right style="medium">
        <color indexed="64"/>
      </right>
      <top style="medium">
        <color indexed="8"/>
      </top>
      <bottom style="thick">
        <color indexed="8"/>
      </bottom>
      <diagonal/>
    </border>
    <border>
      <left/>
      <right style="medium">
        <color indexed="64"/>
      </right>
      <top/>
      <bottom style="thick">
        <color indexed="8"/>
      </bottom>
      <diagonal/>
    </border>
    <border>
      <left style="medium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 style="medium">
        <color indexed="64"/>
      </right>
      <top style="thick">
        <color indexed="8"/>
      </top>
      <bottom style="double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thick">
        <color indexed="8"/>
      </right>
      <top/>
      <bottom style="medium">
        <color indexed="64"/>
      </bottom>
      <diagonal/>
    </border>
    <border>
      <left style="thick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8"/>
      </top>
      <bottom style="double">
        <color indexed="64"/>
      </bottom>
      <diagonal/>
    </border>
    <border>
      <left/>
      <right/>
      <top style="thick">
        <color indexed="8"/>
      </top>
      <bottom style="double">
        <color indexed="64"/>
      </bottom>
      <diagonal/>
    </border>
    <border>
      <left/>
      <right style="medium">
        <color indexed="64"/>
      </right>
      <top style="thick">
        <color indexed="8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0" fillId="0" borderId="0" xfId="0" applyBorder="1" applyAlignment="1"/>
    <xf numFmtId="0" fontId="2" fillId="0" borderId="34" xfId="0" applyFont="1" applyFill="1" applyBorder="1" applyAlignment="1">
      <alignment horizontal="left"/>
    </xf>
    <xf numFmtId="0" fontId="2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2" fillId="0" borderId="3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4" borderId="39" xfId="0" applyFill="1" applyBorder="1"/>
    <xf numFmtId="0" fontId="2" fillId="0" borderId="41" xfId="0" applyFont="1" applyFill="1" applyBorder="1" applyAlignment="1">
      <alignment horizontal="left"/>
    </xf>
    <xf numFmtId="0" fontId="2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" fillId="0" borderId="0" xfId="0" applyFont="1" applyFill="1"/>
    <xf numFmtId="0" fontId="1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1" fillId="0" borderId="51" xfId="0" applyFont="1" applyFill="1" applyBorder="1"/>
    <xf numFmtId="0" fontId="0" fillId="0" borderId="52" xfId="0" applyBorder="1"/>
    <xf numFmtId="0" fontId="1" fillId="0" borderId="39" xfId="0" applyFont="1" applyFill="1" applyBorder="1"/>
    <xf numFmtId="0" fontId="3" fillId="0" borderId="47" xfId="0" applyFont="1" applyFill="1" applyBorder="1"/>
    <xf numFmtId="0" fontId="1" fillId="0" borderId="53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2" fontId="1" fillId="0" borderId="59" xfId="0" applyNumberFormat="1" applyFont="1" applyFill="1" applyBorder="1" applyAlignment="1">
      <alignment horizontal="center"/>
    </xf>
    <xf numFmtId="2" fontId="1" fillId="0" borderId="60" xfId="0" applyNumberFormat="1" applyFont="1" applyFill="1" applyBorder="1" applyAlignment="1">
      <alignment horizontal="center"/>
    </xf>
    <xf numFmtId="0" fontId="1" fillId="0" borderId="61" xfId="0" applyFont="1" applyFill="1" applyBorder="1" applyAlignment="1">
      <alignment horizontal="center"/>
    </xf>
    <xf numFmtId="0" fontId="3" fillId="0" borderId="62" xfId="0" applyFont="1" applyFill="1" applyBorder="1"/>
    <xf numFmtId="0" fontId="1" fillId="0" borderId="62" xfId="0" applyFont="1" applyFill="1" applyBorder="1"/>
    <xf numFmtId="0" fontId="1" fillId="0" borderId="63" xfId="0" applyFont="1" applyFill="1" applyBorder="1"/>
    <xf numFmtId="0" fontId="0" fillId="0" borderId="31" xfId="0" applyBorder="1"/>
    <xf numFmtId="0" fontId="0" fillId="0" borderId="54" xfId="0" applyBorder="1"/>
    <xf numFmtId="0" fontId="1" fillId="0" borderId="42" xfId="0" applyFont="1" applyFill="1" applyBorder="1"/>
    <xf numFmtId="0" fontId="1" fillId="0" borderId="64" xfId="0" applyFont="1" applyFill="1" applyBorder="1" applyAlignment="1">
      <alignment horizontal="center"/>
    </xf>
    <xf numFmtId="2" fontId="1" fillId="0" borderId="65" xfId="0" applyNumberFormat="1" applyFont="1" applyFill="1" applyBorder="1" applyAlignment="1">
      <alignment horizontal="center"/>
    </xf>
    <xf numFmtId="2" fontId="1" fillId="0" borderId="66" xfId="0" applyNumberFormat="1" applyFont="1" applyFill="1" applyBorder="1" applyAlignment="1">
      <alignment horizontal="center"/>
    </xf>
    <xf numFmtId="0" fontId="4" fillId="0" borderId="0" xfId="0" applyFont="1"/>
    <xf numFmtId="0" fontId="5" fillId="0" borderId="1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center"/>
    </xf>
    <xf numFmtId="0" fontId="4" fillId="0" borderId="0" xfId="0" applyFont="1" applyBorder="1"/>
    <xf numFmtId="0" fontId="4" fillId="0" borderId="0" xfId="0" applyFont="1" applyFill="1"/>
    <xf numFmtId="0" fontId="4" fillId="0" borderId="4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center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Fill="1" applyBorder="1" applyAlignment="1" applyProtection="1">
      <alignment horizontal="left"/>
    </xf>
    <xf numFmtId="0" fontId="4" fillId="0" borderId="8" xfId="0" applyFont="1" applyFill="1" applyBorder="1" applyAlignment="1" applyProtection="1">
      <alignment horizontal="center"/>
    </xf>
    <xf numFmtId="0" fontId="4" fillId="0" borderId="8" xfId="0" applyFont="1" applyFill="1" applyBorder="1" applyAlignment="1" applyProtection="1">
      <alignment horizontal="left" vertical="top"/>
    </xf>
    <xf numFmtId="0" fontId="5" fillId="0" borderId="8" xfId="0" applyFont="1" applyFill="1" applyBorder="1" applyAlignment="1" applyProtection="1">
      <alignment horizontal="left"/>
    </xf>
    <xf numFmtId="0" fontId="4" fillId="0" borderId="0" xfId="0" applyFont="1" applyFill="1" applyBorder="1"/>
    <xf numFmtId="0" fontId="4" fillId="0" borderId="9" xfId="0" applyFont="1" applyFill="1" applyBorder="1"/>
    <xf numFmtId="0" fontId="4" fillId="0" borderId="0" xfId="0" applyFont="1" applyFill="1" applyBorder="1" applyProtection="1"/>
    <xf numFmtId="0" fontId="4" fillId="3" borderId="0" xfId="0" applyFont="1" applyFill="1" applyBorder="1" applyProtection="1">
      <protection locked="0"/>
    </xf>
    <xf numFmtId="0" fontId="4" fillId="0" borderId="0" xfId="0" applyFont="1" applyFill="1" applyBorder="1" applyAlignment="1" applyProtection="1">
      <alignment horizontal="right"/>
    </xf>
    <xf numFmtId="164" fontId="4" fillId="4" borderId="0" xfId="0" applyNumberFormat="1" applyFont="1" applyFill="1" applyBorder="1" applyProtection="1"/>
    <xf numFmtId="0" fontId="4" fillId="0" borderId="9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right"/>
    </xf>
    <xf numFmtId="0" fontId="4" fillId="2" borderId="14" xfId="0" applyFont="1" applyFill="1" applyBorder="1" applyProtection="1">
      <protection locked="0"/>
    </xf>
    <xf numFmtId="0" fontId="4" fillId="0" borderId="14" xfId="0" applyFont="1" applyFill="1" applyBorder="1"/>
    <xf numFmtId="0" fontId="4" fillId="0" borderId="15" xfId="0" applyFont="1" applyFill="1" applyBorder="1"/>
    <xf numFmtId="0" fontId="4" fillId="4" borderId="0" xfId="0" applyFont="1" applyFill="1" applyBorder="1" applyProtection="1"/>
    <xf numFmtId="165" fontId="4" fillId="4" borderId="14" xfId="0" applyNumberFormat="1" applyFont="1" applyFill="1" applyBorder="1" applyProtection="1"/>
    <xf numFmtId="0" fontId="4" fillId="0" borderId="14" xfId="0" applyFont="1" applyFill="1" applyBorder="1" applyProtection="1"/>
    <xf numFmtId="0" fontId="4" fillId="0" borderId="14" xfId="0" applyFont="1" applyFill="1" applyBorder="1" applyAlignment="1" applyProtection="1">
      <alignment horizontal="right"/>
    </xf>
    <xf numFmtId="0" fontId="4" fillId="0" borderId="8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left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9" xfId="0" applyFont="1" applyFill="1" applyBorder="1" applyAlignment="1" applyProtection="1">
      <alignment horizontal="left"/>
      <protection locked="0"/>
    </xf>
    <xf numFmtId="0" fontId="4" fillId="0" borderId="8" xfId="0" applyFont="1" applyFill="1" applyBorder="1"/>
    <xf numFmtId="165" fontId="4" fillId="4" borderId="0" xfId="0" applyNumberFormat="1" applyFont="1" applyFill="1" applyBorder="1" applyAlignment="1" applyProtection="1">
      <alignment horizontal="left"/>
    </xf>
    <xf numFmtId="166" fontId="4" fillId="4" borderId="0" xfId="0" applyNumberFormat="1" applyFont="1" applyFill="1" applyBorder="1" applyAlignment="1" applyProtection="1">
      <alignment horizontal="left"/>
    </xf>
    <xf numFmtId="165" fontId="4" fillId="0" borderId="0" xfId="0" applyNumberFormat="1" applyFont="1" applyFill="1" applyBorder="1" applyProtection="1"/>
    <xf numFmtId="0" fontId="4" fillId="0" borderId="8" xfId="0" applyFont="1" applyFill="1" applyBorder="1" applyAlignment="1" applyProtection="1">
      <alignment horizontal="left" wrapText="1"/>
    </xf>
    <xf numFmtId="165" fontId="4" fillId="2" borderId="0" xfId="0" applyNumberFormat="1" applyFont="1" applyFill="1" applyBorder="1" applyAlignment="1" applyProtection="1">
      <alignment horizontal="left"/>
      <protection locked="0"/>
    </xf>
    <xf numFmtId="0" fontId="5" fillId="0" borderId="16" xfId="0" applyFont="1" applyFill="1" applyBorder="1" applyAlignment="1" applyProtection="1">
      <alignment horizontal="right"/>
    </xf>
    <xf numFmtId="164" fontId="9" fillId="4" borderId="17" xfId="0" applyNumberFormat="1" applyFont="1" applyFill="1" applyBorder="1" applyProtection="1"/>
    <xf numFmtId="0" fontId="9" fillId="0" borderId="18" xfId="0" applyFont="1" applyFill="1" applyBorder="1" applyAlignment="1" applyProtection="1">
      <alignment horizontal="left"/>
    </xf>
    <xf numFmtId="0" fontId="4" fillId="0" borderId="19" xfId="0" applyFont="1" applyFill="1" applyBorder="1" applyAlignment="1"/>
    <xf numFmtId="0" fontId="4" fillId="0" borderId="17" xfId="0" applyFont="1" applyFill="1" applyBorder="1" applyAlignment="1"/>
    <xf numFmtId="164" fontId="9" fillId="4" borderId="20" xfId="0" applyNumberFormat="1" applyFont="1" applyFill="1" applyBorder="1" applyProtection="1"/>
    <xf numFmtId="0" fontId="9" fillId="0" borderId="21" xfId="0" applyFont="1" applyFill="1" applyBorder="1" applyAlignment="1" applyProtection="1">
      <alignment horizontal="left"/>
    </xf>
    <xf numFmtId="0" fontId="4" fillId="4" borderId="0" xfId="0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22" xfId="0" applyFont="1" applyFill="1" applyBorder="1" applyAlignment="1"/>
    <xf numFmtId="164" fontId="9" fillId="0" borderId="22" xfId="0" applyNumberFormat="1" applyFont="1" applyFill="1" applyBorder="1" applyProtection="1"/>
    <xf numFmtId="0" fontId="9" fillId="0" borderId="23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2" fontId="4" fillId="4" borderId="0" xfId="0" applyNumberFormat="1" applyFont="1" applyFill="1" applyBorder="1" applyProtection="1"/>
    <xf numFmtId="0" fontId="4" fillId="0" borderId="24" xfId="0" applyFont="1" applyFill="1" applyBorder="1" applyAlignment="1" applyProtection="1">
      <alignment horizontal="left"/>
    </xf>
    <xf numFmtId="167" fontId="4" fillId="4" borderId="0" xfId="0" applyNumberFormat="1" applyFont="1" applyFill="1" applyBorder="1" applyProtection="1"/>
    <xf numFmtId="0" fontId="4" fillId="0" borderId="24" xfId="0" applyFont="1" applyFill="1" applyBorder="1"/>
    <xf numFmtId="0" fontId="4" fillId="0" borderId="25" xfId="0" applyFont="1" applyFill="1" applyBorder="1"/>
    <xf numFmtId="0" fontId="4" fillId="0" borderId="26" xfId="0" applyFont="1" applyFill="1" applyBorder="1"/>
    <xf numFmtId="0" fontId="4" fillId="0" borderId="26" xfId="0" applyFont="1" applyFill="1" applyBorder="1" applyAlignment="1" applyProtection="1">
      <alignment horizontal="left"/>
    </xf>
    <xf numFmtId="165" fontId="9" fillId="4" borderId="26" xfId="0" applyNumberFormat="1" applyFont="1" applyFill="1" applyBorder="1" applyProtection="1"/>
    <xf numFmtId="0" fontId="9" fillId="0" borderId="26" xfId="0" applyFont="1" applyFill="1" applyBorder="1" applyAlignment="1" applyProtection="1">
      <alignment horizontal="left"/>
    </xf>
    <xf numFmtId="0" fontId="4" fillId="0" borderId="27" xfId="0" applyFont="1" applyFill="1" applyBorder="1"/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/>
    <xf numFmtId="0" fontId="4" fillId="0" borderId="9" xfId="0" applyFont="1" applyBorder="1" applyAlignment="1"/>
    <xf numFmtId="0" fontId="4" fillId="0" borderId="8" xfId="0" applyFont="1" applyBorder="1" applyAlignment="1">
      <alignment horizontal="right"/>
    </xf>
    <xf numFmtId="0" fontId="4" fillId="0" borderId="30" xfId="0" applyFont="1" applyBorder="1" applyAlignment="1">
      <alignment horizontal="right"/>
    </xf>
    <xf numFmtId="0" fontId="4" fillId="0" borderId="31" xfId="0" applyFont="1" applyBorder="1" applyAlignment="1"/>
    <xf numFmtId="0" fontId="4" fillId="0" borderId="10" xfId="0" applyFont="1" applyBorder="1" applyAlignment="1"/>
    <xf numFmtId="165" fontId="4" fillId="4" borderId="0" xfId="0" applyNumberFormat="1" applyFont="1" applyFill="1" applyBorder="1" applyProtection="1">
      <protection locked="0"/>
    </xf>
    <xf numFmtId="0" fontId="4" fillId="2" borderId="0" xfId="0" applyFont="1" applyFill="1" applyBorder="1" applyProtection="1"/>
    <xf numFmtId="168" fontId="4" fillId="4" borderId="0" xfId="0" applyNumberFormat="1" applyFont="1" applyFill="1" applyBorder="1" applyProtection="1"/>
    <xf numFmtId="0" fontId="9" fillId="0" borderId="16" xfId="0" applyFont="1" applyFill="1" applyBorder="1" applyAlignment="1" applyProtection="1">
      <alignment horizontal="left"/>
    </xf>
    <xf numFmtId="0" fontId="4" fillId="0" borderId="22" xfId="0" applyFont="1" applyFill="1" applyBorder="1"/>
    <xf numFmtId="165" fontId="9" fillId="3" borderId="32" xfId="0" applyNumberFormat="1" applyFont="1" applyFill="1" applyBorder="1" applyProtection="1"/>
    <xf numFmtId="0" fontId="9" fillId="0" borderId="22" xfId="0" applyFont="1" applyFill="1" applyBorder="1" applyAlignment="1" applyProtection="1">
      <alignment horizontal="left"/>
    </xf>
    <xf numFmtId="0" fontId="4" fillId="0" borderId="23" xfId="0" applyFont="1" applyFill="1" applyBorder="1"/>
    <xf numFmtId="0" fontId="5" fillId="0" borderId="4" xfId="0" applyFont="1" applyFill="1" applyBorder="1" applyAlignment="1" applyProtection="1">
      <alignment horizontal="left"/>
    </xf>
    <xf numFmtId="0" fontId="4" fillId="0" borderId="8" xfId="0" applyFont="1" applyBorder="1"/>
    <xf numFmtId="0" fontId="4" fillId="0" borderId="9" xfId="0" applyFont="1" applyBorder="1"/>
    <xf numFmtId="3" fontId="4" fillId="3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</xf>
    <xf numFmtId="165" fontId="9" fillId="0" borderId="0" xfId="0" applyNumberFormat="1" applyFont="1" applyFill="1" applyBorder="1" applyProtection="1"/>
    <xf numFmtId="0" fontId="4" fillId="0" borderId="69" xfId="0" applyFont="1" applyFill="1" applyBorder="1"/>
    <xf numFmtId="0" fontId="4" fillId="0" borderId="69" xfId="0" applyFont="1" applyFill="1" applyBorder="1" applyAlignment="1" applyProtection="1">
      <alignment horizontal="left"/>
    </xf>
    <xf numFmtId="165" fontId="9" fillId="4" borderId="69" xfId="0" applyNumberFormat="1" applyFont="1" applyFill="1" applyBorder="1" applyProtection="1"/>
    <xf numFmtId="0" fontId="9" fillId="0" borderId="69" xfId="0" applyFont="1" applyFill="1" applyBorder="1" applyAlignment="1" applyProtection="1">
      <alignment horizontal="left"/>
    </xf>
    <xf numFmtId="167" fontId="4" fillId="4" borderId="69" xfId="0" applyNumberFormat="1" applyFont="1" applyFill="1" applyBorder="1" applyProtection="1"/>
    <xf numFmtId="0" fontId="4" fillId="0" borderId="69" xfId="0" applyFont="1" applyBorder="1"/>
    <xf numFmtId="2" fontId="4" fillId="4" borderId="69" xfId="0" applyNumberFormat="1" applyFont="1" applyFill="1" applyBorder="1" applyProtection="1"/>
    <xf numFmtId="3" fontId="4" fillId="0" borderId="0" xfId="0" applyNumberFormat="1" applyFont="1" applyBorder="1"/>
    <xf numFmtId="0" fontId="4" fillId="0" borderId="71" xfId="0" applyFont="1" applyFill="1" applyBorder="1" applyAlignment="1" applyProtection="1">
      <alignment horizontal="left"/>
    </xf>
    <xf numFmtId="0" fontId="4" fillId="0" borderId="71" xfId="0" applyFont="1" applyFill="1" applyBorder="1"/>
    <xf numFmtId="3" fontId="4" fillId="0" borderId="71" xfId="0" applyNumberFormat="1" applyFont="1" applyBorder="1"/>
    <xf numFmtId="0" fontId="4" fillId="0" borderId="71" xfId="0" applyFont="1" applyBorder="1"/>
    <xf numFmtId="49" fontId="4" fillId="0" borderId="75" xfId="0" applyNumberFormat="1" applyFont="1" applyFill="1" applyBorder="1" applyAlignment="1" applyProtection="1">
      <alignment horizontal="left"/>
    </xf>
    <xf numFmtId="0" fontId="5" fillId="0" borderId="76" xfId="0" applyFont="1" applyFill="1" applyBorder="1" applyAlignment="1" applyProtection="1">
      <alignment horizontal="center"/>
    </xf>
    <xf numFmtId="0" fontId="4" fillId="0" borderId="75" xfId="0" applyFont="1" applyFill="1" applyBorder="1" applyAlignment="1" applyProtection="1">
      <alignment horizontal="left"/>
    </xf>
    <xf numFmtId="0" fontId="4" fillId="0" borderId="77" xfId="0" applyFont="1" applyFill="1" applyBorder="1" applyAlignment="1" applyProtection="1">
      <alignment horizontal="left"/>
    </xf>
    <xf numFmtId="0" fontId="4" fillId="0" borderId="78" xfId="0" applyFont="1" applyFill="1" applyBorder="1"/>
    <xf numFmtId="0" fontId="4" fillId="0" borderId="76" xfId="0" applyFont="1" applyFill="1" applyBorder="1"/>
    <xf numFmtId="0" fontId="4" fillId="0" borderId="75" xfId="0" applyFont="1" applyFill="1" applyBorder="1"/>
    <xf numFmtId="0" fontId="4" fillId="0" borderId="79" xfId="0" applyFont="1" applyFill="1" applyBorder="1"/>
    <xf numFmtId="0" fontId="4" fillId="0" borderId="80" xfId="0" applyFont="1" applyFill="1" applyBorder="1"/>
    <xf numFmtId="0" fontId="5" fillId="0" borderId="81" xfId="0" applyFont="1" applyFill="1" applyBorder="1" applyAlignment="1" applyProtection="1">
      <alignment horizontal="left"/>
    </xf>
    <xf numFmtId="0" fontId="4" fillId="0" borderId="86" xfId="0" applyFont="1" applyFill="1" applyBorder="1" applyAlignment="1" applyProtection="1">
      <alignment horizontal="left"/>
    </xf>
    <xf numFmtId="0" fontId="4" fillId="0" borderId="87" xfId="0" applyFont="1" applyBorder="1"/>
    <xf numFmtId="0" fontId="4" fillId="0" borderId="75" xfId="0" applyFont="1" applyFill="1" applyBorder="1" applyAlignment="1" applyProtection="1">
      <alignment horizontal="center"/>
    </xf>
    <xf numFmtId="0" fontId="4" fillId="0" borderId="75" xfId="0" applyFont="1" applyFill="1" applyBorder="1" applyAlignment="1" applyProtection="1">
      <alignment horizontal="left" vertical="top"/>
    </xf>
    <xf numFmtId="0" fontId="5" fillId="0" borderId="75" xfId="0" applyFont="1" applyFill="1" applyBorder="1" applyAlignment="1" applyProtection="1">
      <alignment horizontal="left"/>
    </xf>
    <xf numFmtId="0" fontId="4" fillId="0" borderId="76" xfId="0" applyFont="1" applyFill="1" applyBorder="1" applyAlignment="1" applyProtection="1">
      <alignment horizontal="left"/>
    </xf>
    <xf numFmtId="0" fontId="4" fillId="0" borderId="95" xfId="0" applyFont="1" applyFill="1" applyBorder="1" applyAlignment="1" applyProtection="1">
      <alignment horizontal="right"/>
    </xf>
    <xf numFmtId="0" fontId="4" fillId="0" borderId="96" xfId="0" applyFont="1" applyFill="1" applyBorder="1"/>
    <xf numFmtId="0" fontId="4" fillId="0" borderId="75" xfId="0" applyFont="1" applyFill="1" applyBorder="1" applyAlignment="1" applyProtection="1">
      <alignment horizontal="right"/>
    </xf>
    <xf numFmtId="0" fontId="4" fillId="3" borderId="76" xfId="0" applyFont="1" applyFill="1" applyBorder="1" applyAlignment="1" applyProtection="1">
      <alignment horizontal="left"/>
      <protection locked="0"/>
    </xf>
    <xf numFmtId="0" fontId="4" fillId="0" borderId="75" xfId="0" applyFont="1" applyFill="1" applyBorder="1" applyAlignment="1" applyProtection="1">
      <alignment horizontal="left" wrapText="1"/>
    </xf>
    <xf numFmtId="0" fontId="5" fillId="0" borderId="97" xfId="0" applyFont="1" applyFill="1" applyBorder="1" applyAlignment="1" applyProtection="1">
      <alignment horizontal="right"/>
    </xf>
    <xf numFmtId="0" fontId="9" fillId="0" borderId="98" xfId="0" applyFont="1" applyFill="1" applyBorder="1" applyAlignment="1" applyProtection="1">
      <alignment horizontal="left"/>
    </xf>
    <xf numFmtId="0" fontId="9" fillId="0" borderId="99" xfId="0" applyFont="1" applyFill="1" applyBorder="1" applyAlignment="1" applyProtection="1">
      <alignment horizontal="left"/>
    </xf>
    <xf numFmtId="0" fontId="4" fillId="0" borderId="102" xfId="0" applyFont="1" applyFill="1" applyBorder="1" applyAlignment="1" applyProtection="1">
      <alignment horizontal="left"/>
    </xf>
    <xf numFmtId="0" fontId="4" fillId="0" borderId="103" xfId="0" applyFont="1" applyFill="1" applyBorder="1" applyAlignment="1" applyProtection="1">
      <alignment horizontal="left"/>
    </xf>
    <xf numFmtId="0" fontId="4" fillId="0" borderId="79" xfId="0" applyFont="1" applyFill="1" applyBorder="1" applyAlignment="1" applyProtection="1">
      <alignment horizontal="left"/>
    </xf>
    <xf numFmtId="0" fontId="4" fillId="0" borderId="76" xfId="0" applyFont="1" applyBorder="1" applyAlignment="1"/>
    <xf numFmtId="0" fontId="4" fillId="0" borderId="75" xfId="0" applyFont="1" applyBorder="1" applyAlignment="1">
      <alignment horizontal="right"/>
    </xf>
    <xf numFmtId="0" fontId="4" fillId="0" borderId="106" xfId="0" applyFont="1" applyBorder="1" applyAlignment="1">
      <alignment horizontal="right"/>
    </xf>
    <xf numFmtId="0" fontId="4" fillId="0" borderId="90" xfId="0" applyFont="1" applyBorder="1" applyAlignment="1"/>
    <xf numFmtId="0" fontId="9" fillId="0" borderId="97" xfId="0" applyFont="1" applyFill="1" applyBorder="1" applyAlignment="1" applyProtection="1">
      <alignment horizontal="left"/>
    </xf>
    <xf numFmtId="0" fontId="4" fillId="0" borderId="99" xfId="0" applyFont="1" applyFill="1" applyBorder="1"/>
    <xf numFmtId="0" fontId="5" fillId="0" borderId="86" xfId="0" applyFont="1" applyFill="1" applyBorder="1" applyAlignment="1" applyProtection="1">
      <alignment horizontal="left"/>
    </xf>
    <xf numFmtId="0" fontId="4" fillId="0" borderId="75" xfId="0" applyFont="1" applyBorder="1"/>
    <xf numFmtId="0" fontId="4" fillId="0" borderId="76" xfId="0" applyFont="1" applyBorder="1"/>
    <xf numFmtId="2" fontId="4" fillId="6" borderId="0" xfId="0" applyNumberFormat="1" applyFont="1" applyFill="1" applyBorder="1" applyAlignment="1" applyProtection="1">
      <alignment horizontal="right"/>
    </xf>
    <xf numFmtId="3" fontId="4" fillId="6" borderId="71" xfId="0" applyNumberFormat="1" applyFont="1" applyFill="1" applyBorder="1" applyAlignment="1" applyProtection="1">
      <alignment horizontal="right"/>
    </xf>
    <xf numFmtId="3" fontId="4" fillId="6" borderId="71" xfId="0" applyNumberFormat="1" applyFont="1" applyFill="1" applyBorder="1"/>
    <xf numFmtId="0" fontId="4" fillId="0" borderId="72" xfId="0" applyFont="1" applyFill="1" applyBorder="1" applyAlignment="1" applyProtection="1">
      <alignment horizontal="left"/>
    </xf>
    <xf numFmtId="0" fontId="4" fillId="3" borderId="72" xfId="0" applyFont="1" applyFill="1" applyBorder="1" applyProtection="1">
      <protection locked="0"/>
    </xf>
    <xf numFmtId="0" fontId="4" fillId="0" borderId="109" xfId="0" applyFont="1" applyFill="1" applyBorder="1"/>
    <xf numFmtId="2" fontId="4" fillId="2" borderId="14" xfId="0" applyNumberFormat="1" applyFont="1" applyFill="1" applyBorder="1" applyProtection="1">
      <protection locked="0"/>
    </xf>
    <xf numFmtId="3" fontId="4" fillId="4" borderId="0" xfId="0" applyNumberFormat="1" applyFont="1" applyFill="1" applyBorder="1" applyProtection="1">
      <protection locked="0"/>
    </xf>
    <xf numFmtId="3" fontId="4" fillId="4" borderId="0" xfId="0" applyNumberFormat="1" applyFont="1" applyFill="1" applyBorder="1" applyProtection="1"/>
    <xf numFmtId="0" fontId="9" fillId="0" borderId="76" xfId="0" applyFont="1" applyFill="1" applyBorder="1" applyAlignment="1" applyProtection="1">
      <alignment horizontal="left"/>
    </xf>
    <xf numFmtId="164" fontId="4" fillId="0" borderId="0" xfId="0" applyNumberFormat="1" applyFont="1" applyFill="1" applyBorder="1" applyProtection="1"/>
    <xf numFmtId="0" fontId="4" fillId="0" borderId="0" xfId="0" applyFont="1" applyFill="1" applyBorder="1" applyAlignment="1">
      <alignment horizontal="center"/>
    </xf>
    <xf numFmtId="0" fontId="4" fillId="0" borderId="117" xfId="0" applyFont="1" applyFill="1" applyBorder="1" applyAlignment="1" applyProtection="1">
      <alignment horizontal="left"/>
    </xf>
    <xf numFmtId="0" fontId="4" fillId="0" borderId="79" xfId="0" applyFont="1" applyFill="1" applyBorder="1" applyAlignment="1" applyProtection="1">
      <alignment horizontal="right"/>
    </xf>
    <xf numFmtId="0" fontId="4" fillId="0" borderId="69" xfId="0" applyFont="1" applyFill="1" applyBorder="1" applyAlignment="1">
      <alignment horizontal="center"/>
    </xf>
    <xf numFmtId="167" fontId="4" fillId="4" borderId="71" xfId="0" applyNumberFormat="1" applyFont="1" applyFill="1" applyBorder="1" applyProtection="1"/>
    <xf numFmtId="0" fontId="4" fillId="0" borderId="78" xfId="0" applyFont="1" applyBorder="1"/>
    <xf numFmtId="167" fontId="4" fillId="0" borderId="0" xfId="0" applyNumberFormat="1" applyFont="1" applyFill="1" applyBorder="1" applyProtection="1"/>
    <xf numFmtId="0" fontId="4" fillId="0" borderId="116" xfId="0" applyFont="1" applyFill="1" applyBorder="1"/>
    <xf numFmtId="0" fontId="4" fillId="0" borderId="117" xfId="0" applyFont="1" applyFill="1" applyBorder="1"/>
    <xf numFmtId="165" fontId="9" fillId="4" borderId="117" xfId="0" applyNumberFormat="1" applyFont="1" applyFill="1" applyBorder="1" applyProtection="1"/>
    <xf numFmtId="0" fontId="9" fillId="0" borderId="117" xfId="0" applyFont="1" applyFill="1" applyBorder="1" applyAlignment="1" applyProtection="1">
      <alignment horizontal="left"/>
    </xf>
    <xf numFmtId="0" fontId="4" fillId="0" borderId="118" xfId="0" applyFont="1" applyFill="1" applyBorder="1"/>
    <xf numFmtId="165" fontId="4" fillId="7" borderId="0" xfId="0" applyNumberFormat="1" applyFont="1" applyFill="1" applyBorder="1" applyProtection="1">
      <protection locked="0"/>
    </xf>
    <xf numFmtId="165" fontId="5" fillId="8" borderId="32" xfId="0" applyNumberFormat="1" applyFont="1" applyFill="1" applyBorder="1" applyProtection="1"/>
    <xf numFmtId="0" fontId="4" fillId="0" borderId="22" xfId="0" applyFont="1" applyFill="1" applyBorder="1" applyAlignment="1"/>
    <xf numFmtId="0" fontId="4" fillId="0" borderId="75" xfId="0" applyFont="1" applyFill="1" applyBorder="1" applyAlignment="1" applyProtection="1">
      <alignment horizontal="left"/>
    </xf>
    <xf numFmtId="0" fontId="15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9" fontId="0" fillId="0" borderId="0" xfId="0" applyNumberFormat="1"/>
    <xf numFmtId="0" fontId="0" fillId="0" borderId="0" xfId="0" applyBorder="1"/>
    <xf numFmtId="0" fontId="17" fillId="0" borderId="0" xfId="0" applyFont="1"/>
    <xf numFmtId="0" fontId="18" fillId="0" borderId="0" xfId="0" applyFont="1"/>
    <xf numFmtId="3" fontId="18" fillId="3" borderId="0" xfId="0" applyNumberFormat="1" applyFont="1" applyFill="1" applyBorder="1" applyProtection="1">
      <protection locked="0"/>
    </xf>
    <xf numFmtId="168" fontId="18" fillId="0" borderId="0" xfId="0" applyNumberFormat="1" applyFont="1"/>
    <xf numFmtId="2" fontId="18" fillId="0" borderId="0" xfId="0" applyNumberFormat="1" applyFont="1"/>
    <xf numFmtId="0" fontId="19" fillId="0" borderId="0" xfId="0" applyFont="1"/>
    <xf numFmtId="2" fontId="18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18" fillId="0" borderId="128" xfId="0" applyFont="1" applyBorder="1"/>
    <xf numFmtId="2" fontId="18" fillId="0" borderId="128" xfId="0" applyNumberFormat="1" applyFont="1" applyBorder="1" applyAlignment="1">
      <alignment horizontal="center"/>
    </xf>
    <xf numFmtId="0" fontId="18" fillId="0" borderId="128" xfId="0" applyFont="1" applyBorder="1" applyAlignment="1">
      <alignment horizontal="right"/>
    </xf>
    <xf numFmtId="2" fontId="18" fillId="0" borderId="128" xfId="0" applyNumberFormat="1" applyFont="1" applyBorder="1"/>
    <xf numFmtId="0" fontId="19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129" xfId="0" applyFont="1" applyBorder="1" applyAlignment="1"/>
    <xf numFmtId="0" fontId="18" fillId="0" borderId="130" xfId="0" applyFont="1" applyBorder="1" applyAlignment="1"/>
    <xf numFmtId="0" fontId="4" fillId="0" borderId="9" xfId="0" applyFont="1" applyBorder="1" applyAlignment="1">
      <alignment horizontal="left" vertical="top"/>
    </xf>
    <xf numFmtId="0" fontId="4" fillId="0" borderId="76" xfId="0" applyFont="1" applyBorder="1" applyAlignment="1">
      <alignment horizontal="left" vertical="top"/>
    </xf>
    <xf numFmtId="0" fontId="6" fillId="0" borderId="82" xfId="0" applyFont="1" applyFill="1" applyBorder="1" applyAlignment="1" applyProtection="1">
      <alignment horizontal="center"/>
    </xf>
    <xf numFmtId="0" fontId="6" fillId="0" borderId="83" xfId="0" applyFont="1" applyFill="1" applyBorder="1" applyAlignment="1" applyProtection="1">
      <alignment horizontal="center"/>
    </xf>
    <xf numFmtId="0" fontId="4" fillId="0" borderId="84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4" fillId="0" borderId="85" xfId="0" applyFont="1" applyFill="1" applyBorder="1" applyAlignment="1" applyProtection="1">
      <alignment horizontal="center"/>
    </xf>
    <xf numFmtId="0" fontId="7" fillId="2" borderId="88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8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top" wrapText="1"/>
    </xf>
    <xf numFmtId="0" fontId="4" fillId="0" borderId="76" xfId="0" applyFont="1" applyFill="1" applyBorder="1" applyAlignment="1" applyProtection="1">
      <alignment horizontal="left" vertical="top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76" xfId="0" applyFont="1" applyFill="1" applyBorder="1" applyAlignment="1" applyProtection="1">
      <alignment horizontal="left" vertical="top"/>
    </xf>
    <xf numFmtId="0" fontId="4" fillId="0" borderId="115" xfId="0" applyFont="1" applyFill="1" applyBorder="1" applyAlignment="1"/>
    <xf numFmtId="0" fontId="4" fillId="0" borderId="9" xfId="0" applyFont="1" applyBorder="1" applyAlignment="1">
      <alignment horizontal="left" vertical="top" wrapText="1"/>
    </xf>
    <xf numFmtId="0" fontId="4" fillId="0" borderId="76" xfId="0" applyFont="1" applyBorder="1" applyAlignment="1">
      <alignment horizontal="left" vertical="top" wrapText="1"/>
    </xf>
    <xf numFmtId="0" fontId="7" fillId="2" borderId="88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left" vertical="center"/>
    </xf>
    <xf numFmtId="0" fontId="7" fillId="2" borderId="89" xfId="0" applyFont="1" applyFill="1" applyBorder="1" applyAlignment="1" applyProtection="1">
      <alignment horizontal="left" vertical="center"/>
    </xf>
    <xf numFmtId="0" fontId="4" fillId="0" borderId="10" xfId="0" applyFont="1" applyBorder="1" applyAlignment="1">
      <alignment horizontal="left" vertical="top" wrapText="1"/>
    </xf>
    <xf numFmtId="0" fontId="4" fillId="0" borderId="90" xfId="0" applyFont="1" applyBorder="1" applyAlignment="1">
      <alignment horizontal="left" vertical="top" wrapText="1"/>
    </xf>
    <xf numFmtId="0" fontId="5" fillId="0" borderId="91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92" xfId="0" applyFont="1" applyFill="1" applyBorder="1" applyAlignment="1" applyProtection="1">
      <alignment horizontal="center"/>
    </xf>
    <xf numFmtId="0" fontId="4" fillId="0" borderId="93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94" xfId="0" applyFont="1" applyFill="1" applyBorder="1" applyAlignment="1" applyProtection="1">
      <alignment horizontal="center"/>
      <protection locked="0"/>
    </xf>
    <xf numFmtId="0" fontId="4" fillId="0" borderId="19" xfId="0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0" fontId="5" fillId="0" borderId="112" xfId="0" applyFont="1" applyFill="1" applyBorder="1" applyAlignment="1" applyProtection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4" fillId="0" borderId="75" xfId="0" applyFont="1" applyFill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76" xfId="0" applyBorder="1" applyAlignment="1">
      <alignment horizontal="left"/>
    </xf>
    <xf numFmtId="0" fontId="4" fillId="0" borderId="0" xfId="0" applyFont="1" applyFill="1" applyBorder="1" applyAlignment="1"/>
    <xf numFmtId="164" fontId="4" fillId="0" borderId="0" xfId="0" applyNumberFormat="1" applyFont="1" applyFill="1" applyBorder="1" applyAlignment="1" applyProtection="1"/>
    <xf numFmtId="0" fontId="0" fillId="0" borderId="76" xfId="0" applyFont="1" applyBorder="1" applyAlignment="1"/>
    <xf numFmtId="0" fontId="4" fillId="0" borderId="69" xfId="0" applyFont="1" applyFill="1" applyBorder="1" applyAlignment="1"/>
    <xf numFmtId="164" fontId="4" fillId="0" borderId="69" xfId="0" applyNumberFormat="1" applyFont="1" applyFill="1" applyBorder="1" applyAlignment="1" applyProtection="1"/>
    <xf numFmtId="0" fontId="0" fillId="0" borderId="80" xfId="0" applyFont="1" applyBorder="1" applyAlignment="1"/>
    <xf numFmtId="0" fontId="5" fillId="0" borderId="119" xfId="0" applyFont="1" applyFill="1" applyBorder="1" applyAlignment="1" applyProtection="1">
      <alignment horizontal="center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4" fillId="0" borderId="122" xfId="0" applyFont="1" applyFill="1" applyBorder="1" applyAlignment="1" applyProtection="1">
      <alignment horizontal="left"/>
    </xf>
    <xf numFmtId="0" fontId="0" fillId="0" borderId="115" xfId="0" applyBorder="1" applyAlignment="1">
      <alignment horizontal="left"/>
    </xf>
    <xf numFmtId="0" fontId="0" fillId="0" borderId="123" xfId="0" applyBorder="1" applyAlignment="1">
      <alignment horizontal="left"/>
    </xf>
    <xf numFmtId="0" fontId="4" fillId="0" borderId="77" xfId="0" applyFont="1" applyFill="1" applyBorder="1" applyAlignment="1" applyProtection="1">
      <alignment horizontal="left"/>
    </xf>
    <xf numFmtId="0" fontId="0" fillId="0" borderId="71" xfId="0" applyBorder="1" applyAlignment="1"/>
    <xf numFmtId="0" fontId="4" fillId="0" borderId="124" xfId="0" applyFont="1" applyFill="1" applyBorder="1" applyAlignment="1" applyProtection="1">
      <alignment horizontal="left"/>
    </xf>
    <xf numFmtId="0" fontId="0" fillId="0" borderId="72" xfId="0" applyBorder="1" applyAlignment="1">
      <alignment horizontal="left"/>
    </xf>
    <xf numFmtId="0" fontId="0" fillId="0" borderId="72" xfId="0" applyBorder="1" applyAlignment="1"/>
    <xf numFmtId="0" fontId="0" fillId="0" borderId="109" xfId="0" applyBorder="1" applyAlignment="1"/>
    <xf numFmtId="0" fontId="0" fillId="0" borderId="0" xfId="0" applyAlignment="1"/>
    <xf numFmtId="0" fontId="0" fillId="0" borderId="76" xfId="0" applyBorder="1" applyAlignment="1"/>
    <xf numFmtId="0" fontId="4" fillId="0" borderId="22" xfId="0" applyFont="1" applyFill="1" applyBorder="1" applyAlignment="1"/>
    <xf numFmtId="0" fontId="0" fillId="0" borderId="22" xfId="0" applyBorder="1" applyAlignment="1"/>
    <xf numFmtId="0" fontId="5" fillId="0" borderId="100" xfId="0" applyFont="1" applyFill="1" applyBorder="1" applyAlignment="1" applyProtection="1">
      <alignment horizontal="center"/>
    </xf>
    <xf numFmtId="0" fontId="5" fillId="0" borderId="67" xfId="0" applyFont="1" applyFill="1" applyBorder="1" applyAlignment="1" applyProtection="1">
      <alignment horizontal="center"/>
    </xf>
    <xf numFmtId="0" fontId="5" fillId="0" borderId="101" xfId="0" applyFont="1" applyFill="1" applyBorder="1" applyAlignment="1" applyProtection="1">
      <alignment horizontal="center"/>
    </xf>
    <xf numFmtId="0" fontId="4" fillId="0" borderId="75" xfId="0" applyFont="1" applyFill="1" applyBorder="1" applyAlignment="1"/>
    <xf numFmtId="0" fontId="0" fillId="0" borderId="0" xfId="0" applyBorder="1" applyAlignment="1"/>
    <xf numFmtId="0" fontId="4" fillId="0" borderId="0" xfId="0" applyFont="1" applyFill="1" applyBorder="1" applyAlignment="1">
      <alignment horizontal="right"/>
    </xf>
    <xf numFmtId="0" fontId="4" fillId="0" borderId="88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9" xfId="0" applyFont="1" applyBorder="1" applyAlignment="1">
      <alignment vertical="top" wrapText="1"/>
    </xf>
    <xf numFmtId="0" fontId="4" fillId="0" borderId="107" xfId="0" applyFont="1" applyBorder="1" applyAlignment="1">
      <alignment vertical="top" wrapText="1"/>
    </xf>
    <xf numFmtId="0" fontId="4" fillId="0" borderId="68" xfId="0" applyFont="1" applyBorder="1" applyAlignment="1">
      <alignment vertical="top" wrapText="1"/>
    </xf>
    <xf numFmtId="0" fontId="4" fillId="0" borderId="108" xfId="0" applyFont="1" applyBorder="1" applyAlignment="1">
      <alignment vertical="top" wrapText="1"/>
    </xf>
    <xf numFmtId="0" fontId="4" fillId="0" borderId="79" xfId="0" applyFont="1" applyFill="1" applyBorder="1" applyAlignment="1">
      <alignment horizontal="right"/>
    </xf>
    <xf numFmtId="0" fontId="0" fillId="0" borderId="69" xfId="0" applyBorder="1" applyAlignment="1"/>
    <xf numFmtId="0" fontId="5" fillId="0" borderId="119" xfId="0" applyFont="1" applyFill="1" applyBorder="1" applyAlignment="1">
      <alignment horizontal="center" vertical="center"/>
    </xf>
    <xf numFmtId="0" fontId="15" fillId="0" borderId="120" xfId="0" applyFont="1" applyBorder="1" applyAlignment="1">
      <alignment horizontal="center" vertical="center"/>
    </xf>
    <xf numFmtId="0" fontId="15" fillId="0" borderId="121" xfId="0" applyFont="1" applyBorder="1" applyAlignment="1">
      <alignment horizontal="center" vertical="center"/>
    </xf>
    <xf numFmtId="0" fontId="7" fillId="5" borderId="29" xfId="0" applyFont="1" applyFill="1" applyBorder="1" applyAlignment="1" applyProtection="1">
      <alignment horizontal="left" vertical="center"/>
    </xf>
    <xf numFmtId="0" fontId="9" fillId="0" borderId="22" xfId="0" applyFont="1" applyFill="1" applyBorder="1" applyAlignment="1" applyProtection="1">
      <alignment horizontal="right"/>
    </xf>
    <xf numFmtId="0" fontId="0" fillId="0" borderId="127" xfId="0" applyBorder="1" applyAlignment="1"/>
    <xf numFmtId="0" fontId="0" fillId="0" borderId="0" xfId="0" applyBorder="1"/>
    <xf numFmtId="0" fontId="4" fillId="0" borderId="125" xfId="0" applyFont="1" applyFill="1" applyBorder="1" applyAlignment="1" applyProtection="1">
      <alignment horizontal="right"/>
    </xf>
    <xf numFmtId="0" fontId="0" fillId="0" borderId="126" xfId="0" applyBorder="1" applyAlignment="1">
      <alignment horizontal="right"/>
    </xf>
    <xf numFmtId="0" fontId="4" fillId="0" borderId="110" xfId="0" applyFont="1" applyFill="1" applyBorder="1" applyAlignment="1"/>
    <xf numFmtId="0" fontId="0" fillId="0" borderId="111" xfId="0" applyBorder="1" applyAlignment="1"/>
    <xf numFmtId="0" fontId="4" fillId="0" borderId="75" xfId="0" applyFont="1" applyFill="1" applyBorder="1" applyAlignment="1">
      <alignment horizontal="right"/>
    </xf>
    <xf numFmtId="0" fontId="5" fillId="0" borderId="73" xfId="0" applyFont="1" applyFill="1" applyBorder="1" applyAlignment="1" applyProtection="1">
      <alignment horizontal="center"/>
    </xf>
    <xf numFmtId="0" fontId="5" fillId="0" borderId="70" xfId="0" applyFont="1" applyFill="1" applyBorder="1" applyAlignment="1" applyProtection="1">
      <alignment horizontal="center"/>
    </xf>
    <xf numFmtId="0" fontId="5" fillId="0" borderId="74" xfId="0" applyFont="1" applyFill="1" applyBorder="1" applyAlignment="1" applyProtection="1">
      <alignment horizontal="center"/>
    </xf>
    <xf numFmtId="0" fontId="4" fillId="0" borderId="88" xfId="0" applyFont="1" applyBorder="1" applyAlignment="1"/>
    <xf numFmtId="0" fontId="4" fillId="0" borderId="7" xfId="0" applyFont="1" applyBorder="1" applyAlignment="1"/>
    <xf numFmtId="0" fontId="4" fillId="0" borderId="89" xfId="0" applyFont="1" applyBorder="1" applyAlignment="1"/>
    <xf numFmtId="0" fontId="4" fillId="0" borderId="72" xfId="0" applyFont="1" applyFill="1" applyBorder="1" applyAlignment="1">
      <alignment horizontal="right"/>
    </xf>
    <xf numFmtId="0" fontId="0" fillId="0" borderId="72" xfId="0" applyBorder="1" applyAlignment="1">
      <alignment horizontal="right"/>
    </xf>
    <xf numFmtId="0" fontId="7" fillId="5" borderId="104" xfId="0" applyFont="1" applyFill="1" applyBorder="1" applyAlignment="1" applyProtection="1">
      <alignment horizontal="left" vertical="center"/>
    </xf>
    <xf numFmtId="0" fontId="7" fillId="5" borderId="105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5" fillId="0" borderId="28" xfId="0" applyFont="1" applyFill="1" applyBorder="1" applyAlignment="1" applyProtection="1">
      <alignment horizontal="center"/>
    </xf>
    <xf numFmtId="0" fontId="4" fillId="0" borderId="33" xfId="0" applyFont="1" applyBorder="1" applyAlignment="1">
      <alignment vertical="top" wrapText="1"/>
    </xf>
    <xf numFmtId="0" fontId="4" fillId="0" borderId="7" xfId="0" applyFont="1" applyBorder="1"/>
    <xf numFmtId="0" fontId="0" fillId="0" borderId="0" xfId="0" applyAlignment="1">
      <alignment horizontal="right"/>
    </xf>
    <xf numFmtId="0" fontId="3" fillId="0" borderId="37" xfId="0" applyFont="1" applyFill="1" applyBorder="1" applyAlignment="1">
      <alignment horizontal="center"/>
    </xf>
    <xf numFmtId="0" fontId="1" fillId="0" borderId="4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 applyProtection="1">
      <alignment horizontal="left"/>
    </xf>
    <xf numFmtId="0" fontId="3" fillId="0" borderId="2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8" fillId="0" borderId="0" xfId="0" applyFont="1" applyBorder="1"/>
    <xf numFmtId="0" fontId="18" fillId="0" borderId="131" xfId="0" applyFont="1" applyBorder="1" applyAlignment="1">
      <alignment horizontal="center"/>
    </xf>
    <xf numFmtId="2" fontId="18" fillId="0" borderId="131" xfId="0" applyNumberFormat="1" applyFont="1" applyBorder="1" applyAlignment="1">
      <alignment horizontal="center"/>
    </xf>
    <xf numFmtId="0" fontId="18" fillId="0" borderId="132" xfId="0" applyFont="1" applyBorder="1" applyAlignment="1">
      <alignment horizontal="center"/>
    </xf>
    <xf numFmtId="0" fontId="18" fillId="0" borderId="133" xfId="0" applyFont="1" applyBorder="1"/>
    <xf numFmtId="0" fontId="18" fillId="0" borderId="134" xfId="0" applyFont="1" applyBorder="1"/>
    <xf numFmtId="0" fontId="18" fillId="0" borderId="0" xfId="0" applyFont="1" applyBorder="1" applyAlignment="1">
      <alignment horizontal="right"/>
    </xf>
    <xf numFmtId="2" fontId="18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CC"/>
      <color rgb="FFFF8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695450"/>
          <a:ext cx="14859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1428750</xdr:colOff>
      <xdr:row>73</xdr:row>
      <xdr:rowOff>66675</xdr:rowOff>
    </xdr:from>
    <xdr:to>
      <xdr:col>2</xdr:col>
      <xdr:colOff>657225</xdr:colOff>
      <xdr:row>73</xdr:row>
      <xdr:rowOff>476250</xdr:rowOff>
    </xdr:to>
    <xdr:pic>
      <xdr:nvPicPr>
        <xdr:cNvPr id="3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13649325"/>
          <a:ext cx="704850" cy="409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695450"/>
          <a:ext cx="14859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1</xdr:col>
      <xdr:colOff>1428750</xdr:colOff>
      <xdr:row>77</xdr:row>
      <xdr:rowOff>66675</xdr:rowOff>
    </xdr:from>
    <xdr:to>
      <xdr:col>2</xdr:col>
      <xdr:colOff>657225</xdr:colOff>
      <xdr:row>77</xdr:row>
      <xdr:rowOff>476250</xdr:rowOff>
    </xdr:to>
    <xdr:pic>
      <xdr:nvPicPr>
        <xdr:cNvPr id="3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43200" y="13649325"/>
          <a:ext cx="704850" cy="409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695450"/>
          <a:ext cx="14859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76400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69</xdr:row>
      <xdr:rowOff>57150</xdr:rowOff>
    </xdr:from>
    <xdr:to>
      <xdr:col>3</xdr:col>
      <xdr:colOff>762000</xdr:colOff>
      <xdr:row>69</xdr:row>
      <xdr:rowOff>495300</xdr:rowOff>
    </xdr:to>
    <xdr:pic>
      <xdr:nvPicPr>
        <xdr:cNvPr id="3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72875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2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86100" y="1695450"/>
          <a:ext cx="14859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69</xdr:row>
      <xdr:rowOff>57150</xdr:rowOff>
    </xdr:from>
    <xdr:to>
      <xdr:col>3</xdr:col>
      <xdr:colOff>762000</xdr:colOff>
      <xdr:row>69</xdr:row>
      <xdr:rowOff>495300</xdr:rowOff>
    </xdr:to>
    <xdr:pic>
      <xdr:nvPicPr>
        <xdr:cNvPr id="3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9975" y="1240155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2"/>
  <sheetViews>
    <sheetView tabSelected="1" topLeftCell="A22" workbookViewId="0">
      <selection activeCell="F45" sqref="F45"/>
    </sheetView>
  </sheetViews>
  <sheetFormatPr defaultRowHeight="12.75"/>
  <cols>
    <col min="1" max="1" width="18.85546875" customWidth="1"/>
    <col min="2" max="2" width="13.42578125" customWidth="1"/>
    <col min="3" max="3" width="14.28515625" customWidth="1"/>
    <col min="4" max="4" width="12.5703125" customWidth="1"/>
    <col min="5" max="5" width="12.28515625" customWidth="1"/>
    <col min="6" max="6" width="13.7109375" customWidth="1"/>
  </cols>
  <sheetData>
    <row r="1" spans="1:11" ht="15.75">
      <c r="A1" s="208"/>
      <c r="B1" s="208"/>
      <c r="C1" s="208"/>
      <c r="D1" s="208"/>
      <c r="E1" s="208"/>
      <c r="F1" s="208"/>
      <c r="G1" s="208"/>
      <c r="H1" s="208"/>
      <c r="I1" s="208"/>
      <c r="J1" s="208"/>
      <c r="K1" s="207"/>
    </row>
    <row r="2" spans="1:11" ht="20.25">
      <c r="A2" s="216" t="s">
        <v>235</v>
      </c>
      <c r="B2" s="208"/>
      <c r="C2" s="208" t="s">
        <v>236</v>
      </c>
      <c r="D2" s="208"/>
      <c r="E2" s="208"/>
      <c r="F2" s="208"/>
      <c r="G2" s="208"/>
      <c r="H2" s="208"/>
      <c r="I2" s="208"/>
      <c r="J2" s="208"/>
      <c r="K2" s="207"/>
    </row>
    <row r="3" spans="1:11" ht="15.75">
      <c r="A3" s="208"/>
      <c r="B3" s="208"/>
      <c r="C3" s="208">
        <v>60</v>
      </c>
      <c r="D3" s="208" t="s">
        <v>237</v>
      </c>
      <c r="E3" s="208"/>
      <c r="F3" s="208"/>
      <c r="G3" s="208"/>
      <c r="H3" s="208"/>
      <c r="I3" s="208"/>
      <c r="J3" s="208"/>
      <c r="K3" s="207"/>
    </row>
    <row r="4" spans="1:11" ht="18.75">
      <c r="A4" s="215" t="s">
        <v>207</v>
      </c>
      <c r="B4" s="208"/>
      <c r="C4" s="208"/>
      <c r="D4" s="208"/>
      <c r="E4" s="208"/>
      <c r="F4" s="208"/>
      <c r="G4" s="208"/>
      <c r="H4" s="208"/>
      <c r="I4" s="208"/>
      <c r="J4" s="208"/>
      <c r="K4" s="207"/>
    </row>
    <row r="5" spans="1:11" ht="15.75">
      <c r="A5" s="208"/>
      <c r="B5" s="208"/>
      <c r="C5" s="208"/>
      <c r="D5" s="208"/>
      <c r="E5" s="208"/>
      <c r="F5" s="208"/>
      <c r="G5" s="208"/>
      <c r="H5" s="208"/>
      <c r="I5" s="208"/>
      <c r="J5" s="208"/>
      <c r="K5" s="207"/>
    </row>
    <row r="6" spans="1:11" ht="15.75">
      <c r="A6" s="208" t="s">
        <v>26</v>
      </c>
      <c r="B6" s="209">
        <v>24255</v>
      </c>
      <c r="C6" s="208" t="s">
        <v>208</v>
      </c>
      <c r="D6" s="210">
        <f>B6/43560</f>
        <v>0.55681818181818177</v>
      </c>
      <c r="E6" s="208" t="s">
        <v>209</v>
      </c>
      <c r="F6" s="208"/>
      <c r="G6" s="208">
        <v>100</v>
      </c>
      <c r="H6" s="208" t="s">
        <v>210</v>
      </c>
      <c r="I6" s="208"/>
      <c r="J6" s="208"/>
      <c r="K6" s="207"/>
    </row>
    <row r="7" spans="1:11" ht="15.75">
      <c r="A7" s="208"/>
      <c r="B7" s="208"/>
      <c r="C7" s="208"/>
      <c r="D7" s="208"/>
      <c r="E7" s="208"/>
      <c r="F7" s="208"/>
      <c r="G7" s="208"/>
      <c r="H7" s="208"/>
      <c r="I7" s="208"/>
      <c r="J7" s="208"/>
      <c r="K7" s="207"/>
    </row>
    <row r="8" spans="1:11" ht="15.75">
      <c r="A8" s="208"/>
      <c r="B8" s="208"/>
      <c r="C8" s="208"/>
      <c r="D8" s="208"/>
      <c r="E8" s="208"/>
      <c r="F8" s="208"/>
      <c r="G8" s="208"/>
      <c r="H8" s="208"/>
      <c r="I8" s="208"/>
      <c r="J8" s="208"/>
      <c r="K8" s="207"/>
    </row>
    <row r="9" spans="1:11" ht="18.75">
      <c r="A9" s="215" t="s">
        <v>211</v>
      </c>
      <c r="B9" s="208"/>
      <c r="C9" s="208"/>
      <c r="D9" s="208"/>
      <c r="E9" s="208"/>
      <c r="F9" s="208"/>
      <c r="G9" s="208"/>
      <c r="H9" s="208"/>
      <c r="I9" s="208"/>
      <c r="J9" s="208"/>
      <c r="K9" s="207"/>
    </row>
    <row r="10" spans="1:11" ht="15.75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7"/>
    </row>
    <row r="11" spans="1:11" ht="15.75">
      <c r="A11" s="208" t="s">
        <v>212</v>
      </c>
      <c r="B11" s="208">
        <v>7678</v>
      </c>
      <c r="C11" s="208" t="s">
        <v>208</v>
      </c>
      <c r="D11" s="210">
        <f t="shared" ref="D11:D14" si="0">B11/43560</f>
        <v>0.17626262626262626</v>
      </c>
      <c r="E11" s="208" t="s">
        <v>209</v>
      </c>
      <c r="F11" s="208"/>
      <c r="G11" s="211">
        <f>B11/B6*100</f>
        <v>31.655328798185938</v>
      </c>
      <c r="H11" s="208" t="s">
        <v>210</v>
      </c>
      <c r="I11" s="208"/>
      <c r="J11" s="208"/>
      <c r="K11" s="207"/>
    </row>
    <row r="12" spans="1:11" ht="15.75">
      <c r="A12" s="208" t="s">
        <v>213</v>
      </c>
      <c r="B12" s="208">
        <v>9130</v>
      </c>
      <c r="C12" s="208" t="s">
        <v>208</v>
      </c>
      <c r="D12" s="210">
        <f t="shared" si="0"/>
        <v>0.20959595959595959</v>
      </c>
      <c r="E12" s="208" t="s">
        <v>209</v>
      </c>
      <c r="F12" s="208"/>
      <c r="G12" s="211">
        <f>B12/B6*100</f>
        <v>37.641723356009074</v>
      </c>
      <c r="H12" s="208" t="s">
        <v>210</v>
      </c>
      <c r="I12" s="208"/>
      <c r="J12" s="208"/>
      <c r="K12" s="207"/>
    </row>
    <row r="13" spans="1:11" ht="15.75">
      <c r="A13" s="208" t="s">
        <v>214</v>
      </c>
      <c r="B13" s="208">
        <v>4302</v>
      </c>
      <c r="C13" s="208" t="s">
        <v>208</v>
      </c>
      <c r="D13" s="210">
        <f t="shared" si="0"/>
        <v>9.8760330578512398E-2</v>
      </c>
      <c r="E13" s="208" t="s">
        <v>209</v>
      </c>
      <c r="F13" s="208"/>
      <c r="G13" s="211">
        <f>B13/B6*100.3</f>
        <v>17.789758812615954</v>
      </c>
      <c r="H13" s="208" t="s">
        <v>210</v>
      </c>
      <c r="I13" s="208"/>
      <c r="J13" s="208"/>
      <c r="K13" s="207"/>
    </row>
    <row r="14" spans="1:11" ht="15.75">
      <c r="A14" s="208" t="s">
        <v>215</v>
      </c>
      <c r="B14" s="208">
        <v>3145</v>
      </c>
      <c r="C14" s="208" t="s">
        <v>208</v>
      </c>
      <c r="D14" s="210">
        <f t="shared" si="0"/>
        <v>7.2199265381083566E-2</v>
      </c>
      <c r="E14" s="208" t="s">
        <v>209</v>
      </c>
      <c r="F14" s="208"/>
      <c r="G14" s="211">
        <f>B14/B6*100</f>
        <v>12.966398680684396</v>
      </c>
      <c r="H14" s="208" t="s">
        <v>210</v>
      </c>
      <c r="I14" s="208"/>
      <c r="J14" s="208"/>
      <c r="K14" s="207"/>
    </row>
    <row r="15" spans="1:11" ht="15.75">
      <c r="A15" s="208"/>
      <c r="B15" s="208"/>
      <c r="C15" s="208"/>
      <c r="D15" s="208"/>
      <c r="E15" s="208"/>
      <c r="F15" s="208"/>
      <c r="G15" s="208"/>
      <c r="H15" s="208"/>
      <c r="I15" s="208"/>
      <c r="J15" s="208"/>
      <c r="K15" s="207"/>
    </row>
    <row r="16" spans="1:11" ht="15.75">
      <c r="A16" s="208" t="s">
        <v>179</v>
      </c>
      <c r="B16" s="208">
        <f>B11+B12+B13+B14</f>
        <v>24255</v>
      </c>
      <c r="C16" s="208" t="s">
        <v>208</v>
      </c>
      <c r="D16" s="210">
        <f>D11+D12+D13+D14</f>
        <v>0.55681818181818188</v>
      </c>
      <c r="E16" s="208" t="s">
        <v>209</v>
      </c>
      <c r="F16" s="208"/>
      <c r="G16" s="211">
        <f>G11+G12+G13+G14</f>
        <v>100.05320964749536</v>
      </c>
      <c r="H16" s="208"/>
      <c r="I16" s="208"/>
      <c r="J16" s="208"/>
      <c r="K16" s="207"/>
    </row>
    <row r="17" spans="1:11" ht="15.75">
      <c r="A17" s="208"/>
      <c r="B17" s="208"/>
      <c r="C17" s="208"/>
      <c r="D17" s="208"/>
      <c r="E17" s="208"/>
      <c r="F17" s="208"/>
      <c r="G17" s="208"/>
      <c r="H17" s="208"/>
      <c r="I17" s="208"/>
      <c r="J17" s="208"/>
      <c r="K17" s="207"/>
    </row>
    <row r="18" spans="1:11" ht="15.75">
      <c r="A18" s="208"/>
      <c r="B18" s="208"/>
      <c r="C18" s="208"/>
      <c r="D18" s="208"/>
      <c r="E18" s="208"/>
      <c r="F18" s="208"/>
      <c r="G18" s="208"/>
      <c r="H18" s="208"/>
      <c r="I18" s="208"/>
      <c r="J18" s="208"/>
      <c r="K18" s="207"/>
    </row>
    <row r="19" spans="1:11" ht="15.75">
      <c r="A19" s="208"/>
      <c r="B19" s="208"/>
      <c r="C19" s="208"/>
      <c r="D19" s="208"/>
      <c r="E19" s="208"/>
      <c r="F19" s="208"/>
      <c r="G19" s="208"/>
      <c r="H19" s="208"/>
      <c r="I19" s="208"/>
      <c r="J19" s="208"/>
      <c r="K19" s="207"/>
    </row>
    <row r="20" spans="1:11" ht="20.25">
      <c r="A20" s="216" t="s">
        <v>251</v>
      </c>
      <c r="B20" s="208"/>
      <c r="C20" s="208"/>
      <c r="D20" s="208"/>
      <c r="E20" s="208"/>
      <c r="F20" s="208"/>
      <c r="G20" s="208"/>
      <c r="H20" s="208"/>
      <c r="I20" s="208"/>
      <c r="J20" s="208"/>
      <c r="K20" s="207"/>
    </row>
    <row r="21" spans="1:11" ht="20.25">
      <c r="B21" s="218" t="s">
        <v>222</v>
      </c>
      <c r="C21" s="208"/>
      <c r="D21" s="208"/>
      <c r="E21" s="208"/>
      <c r="F21" s="208"/>
      <c r="G21" s="208"/>
      <c r="H21" s="208"/>
      <c r="I21" s="208"/>
      <c r="J21" s="208"/>
      <c r="K21" s="207"/>
    </row>
    <row r="22" spans="1:11" ht="15.75">
      <c r="A22" s="208"/>
      <c r="B22" s="208"/>
      <c r="C22" s="223" t="s">
        <v>223</v>
      </c>
      <c r="D22" s="224"/>
      <c r="E22" s="224"/>
      <c r="F22" s="224"/>
      <c r="G22" s="208"/>
      <c r="H22" s="208"/>
      <c r="I22" s="208"/>
      <c r="J22" s="208"/>
      <c r="K22" s="207"/>
    </row>
    <row r="23" spans="1:11" ht="15.75">
      <c r="A23" s="208"/>
      <c r="B23" s="208"/>
      <c r="C23" s="223" t="s">
        <v>224</v>
      </c>
      <c r="D23" s="224"/>
      <c r="E23" s="224"/>
      <c r="F23" s="224"/>
      <c r="G23" s="208"/>
      <c r="H23" s="208"/>
      <c r="I23" s="208"/>
      <c r="J23" s="208"/>
      <c r="K23" s="207"/>
    </row>
    <row r="24" spans="1:11" ht="16.5" customHeight="1">
      <c r="A24" s="208"/>
      <c r="B24" s="208"/>
      <c r="C24" s="223" t="s">
        <v>252</v>
      </c>
      <c r="D24" s="224"/>
      <c r="E24" s="224"/>
      <c r="F24" s="224"/>
      <c r="G24" s="208"/>
      <c r="H24" s="208"/>
      <c r="I24" s="208"/>
      <c r="J24" s="208"/>
      <c r="K24" s="207"/>
    </row>
    <row r="25" spans="1:11" ht="15.75">
      <c r="A25" s="208"/>
      <c r="B25" s="208"/>
      <c r="C25" s="224"/>
      <c r="D25" s="224"/>
      <c r="E25" s="224"/>
      <c r="F25" s="224"/>
      <c r="G25" s="208"/>
      <c r="H25" s="208"/>
      <c r="I25" s="208"/>
      <c r="J25" s="208"/>
      <c r="K25" s="207"/>
    </row>
    <row r="26" spans="1:11" ht="15.75" customHeight="1">
      <c r="A26" s="208"/>
      <c r="B26" s="208"/>
      <c r="C26" s="223" t="s">
        <v>233</v>
      </c>
      <c r="D26" s="224"/>
      <c r="E26" s="224"/>
      <c r="F26" s="224"/>
      <c r="G26" s="224"/>
      <c r="H26" s="208"/>
      <c r="I26" s="208"/>
      <c r="J26" s="208"/>
      <c r="K26" s="207"/>
    </row>
    <row r="27" spans="1:11" ht="15.75">
      <c r="A27" s="208"/>
      <c r="B27" s="208"/>
      <c r="C27" s="223" t="s">
        <v>227</v>
      </c>
      <c r="D27" s="224"/>
      <c r="E27" s="224"/>
      <c r="F27" s="224"/>
      <c r="G27" s="208"/>
      <c r="H27" s="208"/>
      <c r="I27" s="208"/>
      <c r="J27" s="208"/>
      <c r="K27" s="207"/>
    </row>
    <row r="28" spans="1:11" ht="15.75">
      <c r="A28" s="208"/>
      <c r="B28" s="208"/>
      <c r="C28" s="224"/>
      <c r="D28" s="224"/>
      <c r="E28" s="224"/>
      <c r="F28" s="224"/>
      <c r="G28" s="208"/>
      <c r="H28" s="208"/>
      <c r="I28" s="208"/>
      <c r="J28" s="208"/>
      <c r="K28" s="207"/>
    </row>
    <row r="29" spans="1:11" ht="15.75">
      <c r="A29" s="208"/>
      <c r="B29" s="208"/>
      <c r="C29" s="212" t="s">
        <v>225</v>
      </c>
      <c r="D29" s="208"/>
      <c r="E29" s="208"/>
      <c r="F29" s="208"/>
      <c r="G29" s="208"/>
      <c r="H29" s="208"/>
      <c r="I29" s="208"/>
      <c r="J29" s="208"/>
      <c r="K29" s="207"/>
    </row>
    <row r="30" spans="1:11" ht="15.75">
      <c r="A30" s="208"/>
      <c r="B30" s="208"/>
      <c r="C30" s="212"/>
      <c r="D30" s="208"/>
      <c r="E30" s="208"/>
      <c r="F30" s="208"/>
      <c r="G30" s="208"/>
      <c r="H30" s="208"/>
      <c r="I30" s="208"/>
      <c r="J30" s="208"/>
      <c r="K30" s="207"/>
    </row>
    <row r="31" spans="1:11" ht="18.75">
      <c r="A31" s="217" t="s">
        <v>226</v>
      </c>
      <c r="B31" s="219" t="s">
        <v>228</v>
      </c>
      <c r="C31" s="225" t="s">
        <v>245</v>
      </c>
      <c r="D31" s="226"/>
      <c r="E31" s="222">
        <v>75</v>
      </c>
      <c r="F31" s="219" t="s">
        <v>229</v>
      </c>
      <c r="G31" s="208"/>
      <c r="H31" s="208"/>
      <c r="I31" s="208"/>
      <c r="J31" s="208"/>
      <c r="K31" s="207"/>
    </row>
    <row r="32" spans="1:11" ht="15.75">
      <c r="A32" s="208"/>
      <c r="B32" s="219" t="s">
        <v>231</v>
      </c>
      <c r="C32" s="225" t="s">
        <v>246</v>
      </c>
      <c r="D32" s="226"/>
      <c r="E32" s="222">
        <v>0.26</v>
      </c>
      <c r="F32" s="219" t="s">
        <v>229</v>
      </c>
      <c r="G32" s="208"/>
      <c r="H32" s="208"/>
      <c r="I32" s="208"/>
      <c r="J32" s="208"/>
      <c r="K32" s="207"/>
    </row>
    <row r="33" spans="1:11" ht="15.75">
      <c r="A33" s="208"/>
      <c r="B33" s="219" t="s">
        <v>232</v>
      </c>
      <c r="C33" s="225" t="s">
        <v>247</v>
      </c>
      <c r="D33" s="226"/>
      <c r="E33" s="222">
        <v>2</v>
      </c>
      <c r="F33" s="219" t="s">
        <v>229</v>
      </c>
      <c r="G33" s="208"/>
      <c r="H33" s="208"/>
      <c r="I33" s="208"/>
      <c r="J33" s="208"/>
      <c r="K33" s="207"/>
    </row>
    <row r="34" spans="1:11" ht="15.75">
      <c r="A34" s="208"/>
      <c r="B34" s="219" t="s">
        <v>230</v>
      </c>
      <c r="C34" s="225" t="s">
        <v>248</v>
      </c>
      <c r="D34" s="226"/>
      <c r="E34" s="222">
        <v>14.1</v>
      </c>
      <c r="F34" s="219" t="s">
        <v>229</v>
      </c>
      <c r="G34" s="208"/>
      <c r="H34" s="208"/>
      <c r="I34" s="208"/>
      <c r="J34" s="208"/>
      <c r="K34" s="207"/>
    </row>
    <row r="35" spans="1:11" ht="15.75">
      <c r="A35" s="208"/>
      <c r="B35" s="208"/>
      <c r="C35" s="212"/>
      <c r="D35" s="208"/>
      <c r="E35" s="208"/>
      <c r="F35" s="208"/>
      <c r="G35" s="208"/>
      <c r="H35" s="208"/>
      <c r="I35" s="208"/>
      <c r="J35" s="208"/>
      <c r="K35" s="207"/>
    </row>
    <row r="36" spans="1:11" ht="18.75">
      <c r="A36" s="215" t="s">
        <v>216</v>
      </c>
      <c r="B36" s="208"/>
      <c r="C36" s="208"/>
      <c r="D36" s="208"/>
      <c r="E36" s="208"/>
      <c r="F36" s="208"/>
      <c r="G36" s="208"/>
      <c r="H36" s="208"/>
      <c r="I36" s="208"/>
      <c r="J36" s="208"/>
      <c r="K36" s="207"/>
    </row>
    <row r="37" spans="1:11" ht="16.5" thickBot="1">
      <c r="A37" s="208"/>
      <c r="B37" s="208"/>
      <c r="C37" s="208"/>
      <c r="D37" s="208"/>
      <c r="E37" s="208"/>
      <c r="F37" s="208"/>
      <c r="G37" s="208"/>
      <c r="H37" s="208"/>
      <c r="I37" s="208"/>
      <c r="J37" s="208"/>
      <c r="K37" s="207"/>
    </row>
    <row r="38" spans="1:11" ht="16.5" thickBot="1">
      <c r="A38" s="332"/>
      <c r="B38" s="335" t="s">
        <v>234</v>
      </c>
      <c r="C38" s="336" t="s">
        <v>219</v>
      </c>
      <c r="D38" s="336" t="s">
        <v>218</v>
      </c>
      <c r="E38" s="336" t="s">
        <v>217</v>
      </c>
      <c r="F38" s="337" t="s">
        <v>238</v>
      </c>
      <c r="G38" s="208"/>
      <c r="H38" s="208"/>
      <c r="I38" s="208"/>
      <c r="J38" s="208"/>
      <c r="K38" s="207"/>
    </row>
    <row r="39" spans="1:11" ht="15.75">
      <c r="A39" s="219" t="s">
        <v>215</v>
      </c>
      <c r="B39" s="333">
        <v>0.05</v>
      </c>
      <c r="C39" s="334">
        <f>C3*B39*E31*D6</f>
        <v>125.28409090909089</v>
      </c>
      <c r="D39" s="334">
        <f>0.2*C3*B39*E32*D6</f>
        <v>8.6863636363636365E-2</v>
      </c>
      <c r="E39" s="334">
        <f>0.2*C3*B39*E33*D6</f>
        <v>0.66818181818181821</v>
      </c>
      <c r="F39" s="334">
        <f>0.2*C3*B39*E34*D6</f>
        <v>4.7106818181818184</v>
      </c>
      <c r="G39" s="208"/>
      <c r="H39" s="208"/>
      <c r="I39" s="208"/>
      <c r="J39" s="208"/>
      <c r="K39" s="207"/>
    </row>
    <row r="40" spans="1:11" ht="15.75">
      <c r="A40" s="208"/>
      <c r="B40" s="208"/>
      <c r="C40" s="208"/>
      <c r="D40" s="208"/>
      <c r="E40" s="208"/>
      <c r="F40" s="208"/>
      <c r="G40" s="208"/>
      <c r="H40" s="208"/>
      <c r="I40" s="208"/>
      <c r="J40" s="208"/>
      <c r="K40" s="207"/>
    </row>
    <row r="41" spans="1:11" ht="15.75">
      <c r="A41" s="208"/>
      <c r="B41" s="208"/>
      <c r="C41" s="208"/>
      <c r="D41" s="208"/>
      <c r="E41" s="208"/>
      <c r="F41" s="208"/>
      <c r="G41" s="208"/>
      <c r="H41" s="208"/>
      <c r="I41" s="208"/>
      <c r="J41" s="208"/>
      <c r="K41" s="207"/>
    </row>
    <row r="42" spans="1:11" ht="18.75">
      <c r="A42" s="215" t="s">
        <v>253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7"/>
    </row>
    <row r="43" spans="1:11" ht="16.5" thickBot="1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7"/>
    </row>
    <row r="44" spans="1:11" ht="16.5" thickBot="1">
      <c r="A44" s="206"/>
      <c r="B44" s="335" t="s">
        <v>234</v>
      </c>
      <c r="C44" s="336" t="s">
        <v>219</v>
      </c>
      <c r="D44" s="336" t="s">
        <v>218</v>
      </c>
      <c r="E44" s="336" t="s">
        <v>217</v>
      </c>
      <c r="F44" s="337" t="s">
        <v>238</v>
      </c>
      <c r="G44" s="208"/>
      <c r="H44" s="207"/>
    </row>
    <row r="45" spans="1:11" ht="15.75">
      <c r="A45" s="219" t="s">
        <v>212</v>
      </c>
      <c r="B45" s="334">
        <f>0.05+(0.009*G11)</f>
        <v>0.33489795918367343</v>
      </c>
      <c r="C45" s="334">
        <f>0.2*C3*B45*E31*D11</f>
        <v>53.126994434137281</v>
      </c>
      <c r="D45" s="334">
        <f>0.2*C3*B45*E32*D11</f>
        <v>0.18417358070500928</v>
      </c>
      <c r="E45" s="334">
        <f>0.2*C3*B45*E33*D11</f>
        <v>1.4167198515769943</v>
      </c>
      <c r="F45" s="334">
        <f>0.2*C3*B45*E34*D11</f>
        <v>9.9878749536178102</v>
      </c>
      <c r="G45" s="208"/>
      <c r="H45" s="208"/>
      <c r="I45" s="208"/>
      <c r="J45" s="208"/>
      <c r="K45" s="207"/>
    </row>
    <row r="46" spans="1:11" ht="15.75">
      <c r="A46" s="219" t="s">
        <v>213</v>
      </c>
      <c r="B46" s="220">
        <f>0.05+(0.009*G12)</f>
        <v>0.38877551020408163</v>
      </c>
      <c r="C46" s="220">
        <f>0.2*C3*B46*E31*D12</f>
        <v>73.337198515769941</v>
      </c>
      <c r="D46" s="220">
        <f>0.2*C3*B46*E32*D12</f>
        <v>0.25423562152133583</v>
      </c>
      <c r="E46" s="220">
        <f>0.2*C3*B46*E33*D12</f>
        <v>1.9556586270871985</v>
      </c>
      <c r="F46" s="220">
        <f>0.2*C3*B46*E34*D12</f>
        <v>13.78739332096475</v>
      </c>
      <c r="G46" s="208"/>
      <c r="H46" s="208"/>
      <c r="I46" s="208"/>
      <c r="J46" s="208"/>
      <c r="K46" s="207"/>
    </row>
    <row r="47" spans="1:11" ht="15.75">
      <c r="A47" s="219" t="s">
        <v>214</v>
      </c>
      <c r="B47" s="220">
        <f>0.05+(0.009*G13)</f>
        <v>0.2101078293135436</v>
      </c>
      <c r="C47" s="220">
        <f>0.2*C3*B47*E31*D13</f>
        <v>18.6752868121253</v>
      </c>
      <c r="D47" s="220">
        <f>0.2*C3*B47*E32*D13</f>
        <v>6.4740994282034378E-2</v>
      </c>
      <c r="E47" s="220">
        <f>0.2*C3*B47*E33*D13</f>
        <v>0.49800764832334132</v>
      </c>
      <c r="F47" s="220">
        <f>0.2*C3*B47*E34*D13</f>
        <v>3.5109539206795568</v>
      </c>
      <c r="G47" s="208"/>
      <c r="H47" s="208"/>
      <c r="I47" s="208"/>
      <c r="J47" s="208"/>
      <c r="K47" s="207"/>
    </row>
    <row r="48" spans="1:11" ht="15.75">
      <c r="A48" s="219" t="s">
        <v>215</v>
      </c>
      <c r="B48" s="220">
        <v>0.05</v>
      </c>
      <c r="C48" s="220">
        <f>0.2*C3*B48*E31*D14</f>
        <v>3.248966942148761</v>
      </c>
      <c r="D48" s="220">
        <f>0.2*C3*B48*E32*D14</f>
        <v>1.1263085399449039E-2</v>
      </c>
      <c r="E48" s="220">
        <f>0.2*C3*B48*E33*D14</f>
        <v>8.6639118457300296E-2</v>
      </c>
      <c r="F48" s="220">
        <f>0.2*C3*B48*E34*D14</f>
        <v>0.61080578512396699</v>
      </c>
      <c r="G48" s="208"/>
      <c r="H48" s="208"/>
      <c r="I48" s="208"/>
      <c r="J48" s="208"/>
      <c r="K48" s="207"/>
    </row>
    <row r="49" spans="1:11" ht="15.75">
      <c r="A49" s="219"/>
      <c r="B49" s="221" t="s">
        <v>250</v>
      </c>
      <c r="C49" s="220">
        <f>C45+C46+C47+C48</f>
        <v>148.38844670418129</v>
      </c>
      <c r="D49" s="220">
        <f t="shared" ref="D49:F49" si="1">D45+D46+D47+D48</f>
        <v>0.51441328190782853</v>
      </c>
      <c r="E49" s="220">
        <f t="shared" si="1"/>
        <v>3.9570252454448345</v>
      </c>
      <c r="F49" s="220">
        <f t="shared" si="1"/>
        <v>27.897027980386085</v>
      </c>
      <c r="G49" s="208"/>
      <c r="H49" s="208"/>
      <c r="I49" s="208"/>
      <c r="J49" s="208"/>
      <c r="K49" s="207"/>
    </row>
    <row r="50" spans="1:11" ht="15.75">
      <c r="A50" s="208"/>
      <c r="B50" s="208"/>
      <c r="C50" s="208"/>
      <c r="D50" s="208"/>
      <c r="E50" s="208"/>
      <c r="F50" s="208"/>
      <c r="G50" s="208"/>
      <c r="H50" s="208"/>
      <c r="I50" s="208"/>
      <c r="J50" s="208"/>
      <c r="K50" s="207"/>
    </row>
    <row r="51" spans="1:11" ht="18.75">
      <c r="A51" s="215" t="s">
        <v>221</v>
      </c>
      <c r="B51" s="208"/>
      <c r="C51" s="208"/>
      <c r="D51" s="208"/>
      <c r="E51" s="208"/>
      <c r="F51" s="208"/>
      <c r="G51" s="208"/>
      <c r="H51" s="208"/>
      <c r="I51" s="208"/>
      <c r="J51" s="208"/>
      <c r="K51" s="207"/>
    </row>
    <row r="52" spans="1:11" ht="16.5" thickBot="1">
      <c r="A52" s="208"/>
      <c r="B52" s="208"/>
      <c r="C52" s="208"/>
      <c r="D52" s="208"/>
      <c r="E52" s="208"/>
      <c r="F52" s="208"/>
      <c r="G52" s="208"/>
      <c r="H52" s="208"/>
      <c r="I52" s="208"/>
      <c r="J52" s="208"/>
      <c r="K52" s="207"/>
    </row>
    <row r="53" spans="1:11" ht="16.5" thickBot="1">
      <c r="A53" s="206"/>
      <c r="B53" s="335" t="s">
        <v>234</v>
      </c>
      <c r="C53" s="336" t="s">
        <v>219</v>
      </c>
      <c r="D53" s="336" t="s">
        <v>218</v>
      </c>
      <c r="E53" s="336" t="s">
        <v>217</v>
      </c>
      <c r="F53" s="337" t="s">
        <v>238</v>
      </c>
      <c r="G53" s="208"/>
      <c r="H53" s="208"/>
      <c r="I53" s="208"/>
      <c r="J53" s="208"/>
      <c r="K53" s="207"/>
    </row>
    <row r="54" spans="1:11" ht="15.75">
      <c r="A54" s="219" t="s">
        <v>212</v>
      </c>
      <c r="B54" s="334">
        <f>0.05+(0.009*G11)</f>
        <v>0.33489795918367343</v>
      </c>
      <c r="C54" s="334">
        <f>0.2*C3*B54*E31*D11*0.2</f>
        <v>10.625398886827456</v>
      </c>
      <c r="D54" s="334">
        <f>0.2*C3*B54*E32*D11*0.4</f>
        <v>7.3669432282003719E-2</v>
      </c>
      <c r="E54" s="334">
        <f>0.2*C3*B54*E33*D11*0.5</f>
        <v>0.70835992578849716</v>
      </c>
      <c r="F54" s="334"/>
      <c r="G54" s="208"/>
      <c r="H54" s="208"/>
      <c r="I54" s="208"/>
      <c r="J54" s="208"/>
      <c r="K54" s="207"/>
    </row>
    <row r="55" spans="1:11" ht="15.75">
      <c r="A55" s="219" t="s">
        <v>213</v>
      </c>
      <c r="B55" s="220">
        <f>0.05+(0.009*G12)</f>
        <v>0.38877551020408163</v>
      </c>
      <c r="C55" s="220">
        <f>0.2*C3*B46*E31*D12*0.2</f>
        <v>14.667439703153988</v>
      </c>
      <c r="D55" s="220">
        <f>0.2*C3*B55*E32*D12*0.4</f>
        <v>0.10169424860853434</v>
      </c>
      <c r="E55" s="220">
        <f>0.2*C3*B55*E33*D12*0.5</f>
        <v>0.97782931354359925</v>
      </c>
      <c r="F55" s="220"/>
      <c r="G55" s="208"/>
      <c r="H55" s="208"/>
      <c r="I55" s="208"/>
      <c r="J55" s="208"/>
      <c r="K55" s="207"/>
    </row>
    <row r="56" spans="1:11" ht="15.75">
      <c r="A56" s="219" t="s">
        <v>214</v>
      </c>
      <c r="B56" s="220">
        <f>0.05+(0.009*G13)</f>
        <v>0.2101078293135436</v>
      </c>
      <c r="C56" s="220">
        <f>0.2*C3*B56*E31*D13*0.2</f>
        <v>3.73505736242506</v>
      </c>
      <c r="D56" s="220">
        <f>0.2*C3*B56*E32*D13*0.4</f>
        <v>2.5896397712813754E-2</v>
      </c>
      <c r="E56" s="220">
        <f>0.2*C3*B56*E33*D13*0.5</f>
        <v>0.24900382416167066</v>
      </c>
      <c r="F56" s="220"/>
      <c r="G56" s="208"/>
      <c r="H56" s="208"/>
      <c r="I56" s="208"/>
      <c r="J56" s="208"/>
      <c r="K56" s="207"/>
    </row>
    <row r="57" spans="1:11" ht="15.75">
      <c r="A57" s="219" t="s">
        <v>215</v>
      </c>
      <c r="B57" s="220">
        <v>0.05</v>
      </c>
      <c r="C57" s="220">
        <f>0.2*C3*B57*E31*D14*0.3</f>
        <v>0.97469008264462831</v>
      </c>
      <c r="D57" s="220">
        <f>0.2*C3*B57*E32*D14*0.7</f>
        <v>7.8841597796143262E-3</v>
      </c>
      <c r="E57" s="220">
        <f>0.2*C3*B48*E33*D14*0.7</f>
        <v>6.0647382920110203E-2</v>
      </c>
      <c r="F57" s="220"/>
      <c r="G57" s="208"/>
      <c r="H57" s="208"/>
      <c r="I57" s="208"/>
      <c r="J57" s="208"/>
      <c r="K57" s="207"/>
    </row>
    <row r="58" spans="1:11" ht="15.75">
      <c r="A58" s="219"/>
      <c r="B58" s="221" t="s">
        <v>250</v>
      </c>
      <c r="C58" s="220">
        <f>C54+C55+C56+C57</f>
        <v>30.002586035051131</v>
      </c>
      <c r="D58" s="220">
        <f t="shared" ref="D58:F58" si="2">D54+D55+D56+D57</f>
        <v>0.20914423838296614</v>
      </c>
      <c r="E58" s="220">
        <f t="shared" si="2"/>
        <v>1.9958404464138773</v>
      </c>
      <c r="F58" s="220">
        <f t="shared" si="2"/>
        <v>0</v>
      </c>
      <c r="G58" s="208"/>
      <c r="H58" s="208"/>
      <c r="I58" s="208"/>
      <c r="J58" s="208"/>
      <c r="K58" s="207"/>
    </row>
    <row r="59" spans="1:11" ht="15.75">
      <c r="A59" s="332"/>
      <c r="B59" s="338"/>
      <c r="C59" s="339"/>
      <c r="D59" s="339"/>
      <c r="E59" s="339"/>
      <c r="F59" s="339"/>
      <c r="G59" s="208"/>
      <c r="H59" s="208"/>
      <c r="I59" s="208"/>
      <c r="J59" s="208"/>
      <c r="K59" s="207"/>
    </row>
    <row r="60" spans="1:11" ht="15.75">
      <c r="A60" s="332"/>
      <c r="B60" s="338"/>
      <c r="C60" s="339"/>
      <c r="D60" s="339"/>
      <c r="E60" s="339"/>
      <c r="F60" s="339"/>
      <c r="G60" s="208"/>
      <c r="H60" s="208"/>
      <c r="I60" s="208"/>
      <c r="J60" s="208"/>
      <c r="K60" s="207"/>
    </row>
    <row r="61" spans="1:11" ht="15.75">
      <c r="A61" s="332"/>
      <c r="B61" s="338"/>
      <c r="C61" s="339"/>
      <c r="D61" s="339"/>
      <c r="E61" s="339"/>
      <c r="F61" s="339"/>
      <c r="G61" s="208"/>
      <c r="H61" s="208"/>
      <c r="I61" s="208"/>
      <c r="J61" s="208"/>
      <c r="K61" s="207"/>
    </row>
    <row r="62" spans="1:11" ht="15.75">
      <c r="A62" s="332"/>
      <c r="B62" s="338"/>
      <c r="C62" s="339"/>
      <c r="D62" s="339"/>
      <c r="E62" s="339"/>
      <c r="F62" s="339"/>
      <c r="G62" s="208"/>
      <c r="H62" s="208"/>
      <c r="I62" s="208"/>
      <c r="J62" s="208"/>
      <c r="K62" s="207"/>
    </row>
    <row r="63" spans="1:11" ht="15.75">
      <c r="A63" s="332"/>
      <c r="B63" s="338"/>
      <c r="C63" s="339"/>
      <c r="D63" s="339"/>
      <c r="E63" s="339"/>
      <c r="F63" s="339"/>
      <c r="G63" s="208"/>
      <c r="H63" s="208"/>
      <c r="I63" s="208"/>
      <c r="J63" s="208"/>
      <c r="K63" s="207"/>
    </row>
    <row r="64" spans="1:11" ht="15.75">
      <c r="A64" s="332"/>
      <c r="B64" s="338"/>
      <c r="C64" s="339"/>
      <c r="D64" s="339"/>
      <c r="E64" s="339"/>
      <c r="F64" s="339"/>
      <c r="G64" s="208"/>
      <c r="H64" s="208"/>
      <c r="I64" s="208"/>
      <c r="J64" s="208"/>
      <c r="K64" s="207"/>
    </row>
    <row r="65" spans="1:11" ht="15.75">
      <c r="A65" s="214"/>
      <c r="B65" s="208"/>
      <c r="C65" s="214" t="s">
        <v>239</v>
      </c>
      <c r="D65" s="208"/>
      <c r="E65" s="208"/>
      <c r="F65" s="208"/>
      <c r="G65" s="208"/>
      <c r="H65" s="208"/>
      <c r="I65" s="208"/>
      <c r="J65" s="208"/>
      <c r="K65" s="207"/>
    </row>
    <row r="66" spans="1:11" ht="15.75">
      <c r="A66" s="208"/>
      <c r="B66" s="208"/>
      <c r="C66" s="208"/>
      <c r="D66" s="208"/>
      <c r="E66" s="208"/>
      <c r="F66" s="208"/>
      <c r="G66" s="208"/>
      <c r="H66" s="208"/>
      <c r="I66" s="208"/>
      <c r="J66" s="208"/>
      <c r="K66" s="207"/>
    </row>
    <row r="67" spans="1:11" ht="15.75">
      <c r="A67" s="208"/>
      <c r="B67" s="208"/>
      <c r="C67" s="214" t="s">
        <v>244</v>
      </c>
      <c r="D67" s="208"/>
      <c r="E67" s="208"/>
      <c r="F67" s="208"/>
      <c r="G67" s="208"/>
      <c r="H67" s="208"/>
      <c r="I67" s="208"/>
      <c r="J67" s="208"/>
      <c r="K67" s="207"/>
    </row>
    <row r="68" spans="1:11" ht="15.75">
      <c r="A68" s="208"/>
      <c r="B68" s="208"/>
      <c r="C68" s="214" t="s">
        <v>240</v>
      </c>
      <c r="D68" s="208"/>
      <c r="E68" s="208"/>
      <c r="F68" s="208"/>
      <c r="G68" s="208"/>
      <c r="H68" s="208"/>
      <c r="I68" s="208"/>
      <c r="J68" s="208"/>
      <c r="K68" s="207"/>
    </row>
    <row r="69" spans="1:11" ht="15.75">
      <c r="A69" s="208"/>
      <c r="B69" s="208"/>
      <c r="C69" s="214" t="s">
        <v>241</v>
      </c>
      <c r="D69" s="208"/>
      <c r="E69" s="208"/>
      <c r="F69" s="208"/>
      <c r="G69" s="208"/>
      <c r="H69" s="208"/>
      <c r="I69" s="208"/>
      <c r="J69" s="208"/>
      <c r="K69" s="207"/>
    </row>
    <row r="70" spans="1:11" ht="15.75">
      <c r="A70" s="208"/>
      <c r="B70" s="208"/>
      <c r="C70" s="214" t="s">
        <v>242</v>
      </c>
      <c r="D70" s="208"/>
      <c r="E70" s="208"/>
      <c r="F70" s="208"/>
      <c r="G70" s="208"/>
      <c r="H70" s="208"/>
      <c r="I70" s="208"/>
      <c r="J70" s="208"/>
      <c r="K70" s="207"/>
    </row>
    <row r="71" spans="1:11" ht="15.75">
      <c r="A71" s="208"/>
      <c r="B71" s="208"/>
      <c r="C71" s="214" t="s">
        <v>243</v>
      </c>
      <c r="D71" s="208"/>
      <c r="E71" s="208"/>
      <c r="F71" s="208"/>
      <c r="G71" s="208"/>
      <c r="H71" s="208"/>
      <c r="I71" s="208"/>
      <c r="J71" s="208"/>
      <c r="K71" s="207"/>
    </row>
    <row r="72" spans="1:11" ht="15.75">
      <c r="A72" s="208"/>
      <c r="B72" s="208"/>
      <c r="C72" s="214"/>
      <c r="D72" s="208"/>
      <c r="E72" s="208"/>
      <c r="F72" s="208"/>
      <c r="G72" s="208"/>
      <c r="H72" s="208"/>
      <c r="I72" s="208"/>
      <c r="J72" s="208"/>
      <c r="K72" s="207"/>
    </row>
    <row r="73" spans="1:11" ht="15.75">
      <c r="A73" s="208" t="s">
        <v>226</v>
      </c>
      <c r="B73" s="208" t="s">
        <v>245</v>
      </c>
      <c r="C73" s="208"/>
      <c r="D73" s="208" t="s">
        <v>228</v>
      </c>
      <c r="E73" s="211">
        <v>75</v>
      </c>
      <c r="F73" s="208" t="s">
        <v>229</v>
      </c>
      <c r="G73" s="208"/>
      <c r="H73" s="208"/>
      <c r="I73" s="208"/>
      <c r="J73" s="208"/>
      <c r="K73" s="207"/>
    </row>
    <row r="74" spans="1:11" ht="15.75">
      <c r="A74" s="208"/>
      <c r="B74" s="208" t="s">
        <v>246</v>
      </c>
      <c r="C74" s="208"/>
      <c r="D74" s="208" t="s">
        <v>231</v>
      </c>
      <c r="E74" s="211">
        <v>0.26</v>
      </c>
      <c r="F74" s="208" t="s">
        <v>229</v>
      </c>
      <c r="G74" s="208"/>
      <c r="H74" s="208"/>
      <c r="I74" s="208"/>
      <c r="J74" s="208"/>
      <c r="K74" s="207"/>
    </row>
    <row r="75" spans="1:11" ht="15.75">
      <c r="A75" s="208"/>
      <c r="B75" s="208" t="s">
        <v>247</v>
      </c>
      <c r="C75" s="208"/>
      <c r="D75" s="208" t="s">
        <v>232</v>
      </c>
      <c r="E75" s="211">
        <v>2</v>
      </c>
      <c r="F75" s="208" t="s">
        <v>229</v>
      </c>
      <c r="G75" s="208"/>
      <c r="H75" s="208"/>
      <c r="I75" s="208"/>
      <c r="J75" s="208"/>
      <c r="K75" s="207"/>
    </row>
    <row r="76" spans="1:11" ht="15.75">
      <c r="A76" s="208"/>
      <c r="B76" s="208" t="s">
        <v>248</v>
      </c>
      <c r="C76" s="208"/>
      <c r="D76" s="208" t="s">
        <v>230</v>
      </c>
      <c r="E76" s="211">
        <v>14.1</v>
      </c>
      <c r="F76" s="208" t="s">
        <v>229</v>
      </c>
      <c r="G76" s="208"/>
      <c r="H76" s="208"/>
      <c r="I76" s="208"/>
      <c r="J76" s="208"/>
      <c r="K76" s="207"/>
    </row>
    <row r="77" spans="1:11" ht="15.75">
      <c r="A77" s="208"/>
      <c r="B77" s="208"/>
      <c r="C77" s="208"/>
      <c r="D77" s="208"/>
      <c r="E77" s="208"/>
      <c r="F77" s="208"/>
      <c r="G77" s="208"/>
      <c r="H77" s="208"/>
      <c r="I77" s="208"/>
      <c r="J77" s="208"/>
      <c r="K77" s="207"/>
    </row>
    <row r="78" spans="1:11" ht="15.75">
      <c r="A78" s="208" t="s">
        <v>216</v>
      </c>
      <c r="B78" s="208"/>
      <c r="C78" s="208"/>
      <c r="D78" s="208"/>
      <c r="E78" s="208"/>
      <c r="F78" s="208"/>
      <c r="G78" s="208"/>
      <c r="H78" s="208"/>
      <c r="I78" s="208"/>
      <c r="J78" s="208"/>
      <c r="K78" s="207"/>
    </row>
    <row r="79" spans="1:11" ht="15.75">
      <c r="A79" s="208"/>
      <c r="B79" s="208" t="s">
        <v>219</v>
      </c>
      <c r="C79" s="208" t="s">
        <v>218</v>
      </c>
      <c r="D79" s="208" t="s">
        <v>217</v>
      </c>
      <c r="E79" s="208" t="s">
        <v>238</v>
      </c>
      <c r="F79" s="208"/>
      <c r="G79" s="208"/>
      <c r="H79" s="208"/>
      <c r="I79" s="208"/>
      <c r="J79" s="208"/>
      <c r="K79" s="207"/>
    </row>
    <row r="80" spans="1:11" ht="15.75">
      <c r="A80" s="208" t="s">
        <v>215</v>
      </c>
      <c r="B80" s="213">
        <f>0.226*C3*E73*D6</f>
        <v>566.28409090909088</v>
      </c>
      <c r="C80" s="213">
        <f>0.0226*C3*E74*D6</f>
        <v>0.19631181818181814</v>
      </c>
      <c r="D80" s="213">
        <f>0.0226*C3*E75*D6</f>
        <v>1.5100909090909087</v>
      </c>
      <c r="E80" s="213">
        <f>0.0226*C3*E76*D6</f>
        <v>10.646140909090906</v>
      </c>
      <c r="F80" s="208"/>
      <c r="G80" s="208"/>
      <c r="H80" s="208"/>
      <c r="I80" s="208"/>
      <c r="J80" s="208"/>
      <c r="K80" s="207"/>
    </row>
    <row r="81" spans="1:10" ht="15.75">
      <c r="A81" s="208"/>
      <c r="B81" s="208"/>
      <c r="C81" s="208"/>
      <c r="D81" s="208"/>
      <c r="E81" s="208"/>
      <c r="F81" s="208"/>
      <c r="G81" s="208"/>
      <c r="H81" s="208"/>
      <c r="I81" s="208"/>
      <c r="J81" s="208"/>
    </row>
    <row r="82" spans="1:10" ht="15.75">
      <c r="A82" s="208"/>
      <c r="B82" s="208"/>
      <c r="C82" s="208"/>
      <c r="D82" s="208"/>
      <c r="E82" s="208"/>
      <c r="F82" s="208"/>
      <c r="G82" s="208"/>
      <c r="H82" s="208"/>
      <c r="I82" s="208"/>
      <c r="J82" s="208"/>
    </row>
    <row r="83" spans="1:10" ht="15.75">
      <c r="A83" s="208"/>
      <c r="B83" s="208"/>
      <c r="C83" s="208"/>
      <c r="D83" s="208"/>
      <c r="E83" s="208"/>
      <c r="F83" s="208"/>
      <c r="G83" s="208"/>
      <c r="H83" s="208"/>
      <c r="I83" s="208"/>
      <c r="J83" s="208"/>
    </row>
    <row r="84" spans="1:10" ht="18.75">
      <c r="A84" s="215" t="s">
        <v>220</v>
      </c>
      <c r="B84" s="208"/>
      <c r="C84" s="208"/>
      <c r="D84" s="208"/>
      <c r="E84" s="208"/>
      <c r="F84" s="208"/>
      <c r="G84" s="208"/>
      <c r="H84" s="208"/>
      <c r="I84" s="208"/>
      <c r="J84" s="208"/>
    </row>
    <row r="85" spans="1:10" ht="15.75">
      <c r="A85" s="208"/>
      <c r="B85" s="208"/>
      <c r="C85" s="208"/>
      <c r="D85" s="208"/>
      <c r="E85" s="208"/>
      <c r="F85" s="208"/>
      <c r="G85" s="208"/>
      <c r="H85" s="208"/>
      <c r="I85" s="208"/>
      <c r="J85" s="208"/>
    </row>
    <row r="86" spans="1:10" ht="15.75">
      <c r="B86" s="208" t="s">
        <v>219</v>
      </c>
      <c r="C86" s="208" t="s">
        <v>218</v>
      </c>
      <c r="D86" s="208" t="s">
        <v>217</v>
      </c>
      <c r="E86" s="208" t="s">
        <v>238</v>
      </c>
    </row>
    <row r="87" spans="1:10" ht="15.75">
      <c r="A87" s="208" t="s">
        <v>212</v>
      </c>
      <c r="B87" s="213">
        <f>0.226*C3*E73*D11</f>
        <v>179.2590909090909</v>
      </c>
      <c r="C87" s="213">
        <f>0.226*C3*E74*D11</f>
        <v>0.62143151515151518</v>
      </c>
      <c r="D87" s="213">
        <f>0.226*C3*E75*D11</f>
        <v>4.7802424242424246</v>
      </c>
      <c r="E87" s="213">
        <f>0.226*C3*E76*D11</f>
        <v>33.700709090909093</v>
      </c>
    </row>
    <row r="88" spans="1:10" ht="15.75">
      <c r="A88" s="208" t="s">
        <v>213</v>
      </c>
      <c r="B88" s="213">
        <f>0.226*C3*E73*D12</f>
        <v>213.15909090909091</v>
      </c>
      <c r="C88" s="213">
        <f>0.226*C3*E74*D12</f>
        <v>0.73895151515151514</v>
      </c>
      <c r="D88" s="213">
        <f>0.226*C3*E75*D12</f>
        <v>5.6842424242424245</v>
      </c>
      <c r="E88" s="213">
        <f>0.226*C3*E76*D12</f>
        <v>40.07390909090909</v>
      </c>
    </row>
    <row r="89" spans="1:10" ht="15.75">
      <c r="A89" s="208" t="s">
        <v>214</v>
      </c>
      <c r="B89" s="213">
        <f>0.226*C3*E73*D13</f>
        <v>100.43925619834711</v>
      </c>
      <c r="C89" s="213">
        <f>0.226*C3*E74*D13</f>
        <v>0.34818942148760335</v>
      </c>
      <c r="D89" s="213">
        <f>0.226*C3*E75*D13</f>
        <v>2.6783801652892563</v>
      </c>
      <c r="E89" s="213">
        <f>0.226*C3*E76*D13</f>
        <v>18.882580165289255</v>
      </c>
    </row>
    <row r="90" spans="1:10" ht="15.75">
      <c r="A90" s="208" t="s">
        <v>215</v>
      </c>
      <c r="B90" s="213">
        <f>0.226*C3*E73*D14</f>
        <v>73.426652892561989</v>
      </c>
      <c r="C90" s="213">
        <f>0.226*C3*E74*D14</f>
        <v>0.25454573002754827</v>
      </c>
      <c r="D90" s="213">
        <f>0.226*C3*E75*D14</f>
        <v>1.9580440771349863</v>
      </c>
      <c r="E90" s="213">
        <f>0.226*C3*E76*D14</f>
        <v>13.804210743801653</v>
      </c>
    </row>
    <row r="92" spans="1:10" ht="15.75">
      <c r="A92" s="208" t="s">
        <v>249</v>
      </c>
      <c r="B92" s="202">
        <f>B87+B88+B89+B90</f>
        <v>566.28409090909088</v>
      </c>
      <c r="C92" s="202">
        <f t="shared" ref="C92:E92" si="3">C87+C88+C89+C90</f>
        <v>1.963118181818182</v>
      </c>
      <c r="D92" s="202">
        <f t="shared" si="3"/>
        <v>15.100909090909092</v>
      </c>
      <c r="E92" s="202">
        <f t="shared" si="3"/>
        <v>106.46140909090909</v>
      </c>
    </row>
  </sheetData>
  <mergeCells count="9">
    <mergeCell ref="C22:F22"/>
    <mergeCell ref="C23:F23"/>
    <mergeCell ref="C24:F25"/>
    <mergeCell ref="C26:G26"/>
    <mergeCell ref="C27:F28"/>
    <mergeCell ref="C31:D31"/>
    <mergeCell ref="C32:D32"/>
    <mergeCell ref="C33:D33"/>
    <mergeCell ref="C34:D3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0"/>
  <sheetViews>
    <sheetView topLeftCell="A19" workbookViewId="0">
      <selection activeCell="F22" sqref="F22"/>
    </sheetView>
  </sheetViews>
  <sheetFormatPr defaultRowHeight="12.75"/>
  <cols>
    <col min="1" max="1" width="19.7109375" customWidth="1"/>
    <col min="2" max="2" width="22.140625" customWidth="1"/>
    <col min="3" max="3" width="11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147" t="s">
        <v>0</v>
      </c>
      <c r="B1" s="229" t="s">
        <v>200</v>
      </c>
      <c r="C1" s="229"/>
      <c r="D1" s="229"/>
      <c r="E1" s="229"/>
      <c r="F1" s="229"/>
      <c r="G1" s="230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>
      <c r="A2" s="231" t="s">
        <v>1</v>
      </c>
      <c r="B2" s="232"/>
      <c r="C2" s="232"/>
      <c r="D2" s="232"/>
      <c r="E2" s="232"/>
      <c r="F2" s="232"/>
      <c r="G2" s="233"/>
    </row>
    <row r="3" spans="1:17" s="43" customFormat="1" ht="13.5" thickTop="1">
      <c r="A3" s="148" t="s">
        <v>2</v>
      </c>
      <c r="B3" s="49"/>
      <c r="C3" s="49"/>
      <c r="D3" s="49"/>
      <c r="E3" s="50"/>
      <c r="F3" s="50"/>
      <c r="G3" s="149"/>
    </row>
    <row r="4" spans="1:17" s="43" customFormat="1" ht="20.25" customHeight="1">
      <c r="A4" s="234" t="s">
        <v>3</v>
      </c>
      <c r="B4" s="235"/>
      <c r="C4" s="235"/>
      <c r="D4" s="235"/>
      <c r="E4" s="235"/>
      <c r="F4" s="235"/>
      <c r="G4" s="236"/>
    </row>
    <row r="5" spans="1:17" s="43" customFormat="1" ht="12.75" customHeight="1">
      <c r="A5" s="200" t="s">
        <v>4</v>
      </c>
      <c r="B5" s="237" t="s">
        <v>5</v>
      </c>
      <c r="C5" s="237"/>
      <c r="D5" s="237"/>
      <c r="E5" s="237"/>
      <c r="F5" s="237"/>
      <c r="G5" s="238"/>
    </row>
    <row r="6" spans="1:17" s="43" customFormat="1">
      <c r="A6" s="150"/>
      <c r="B6" s="237"/>
      <c r="C6" s="237"/>
      <c r="D6" s="237"/>
      <c r="E6" s="237"/>
      <c r="F6" s="237"/>
      <c r="G6" s="238"/>
    </row>
    <row r="7" spans="1:17" s="43" customFormat="1">
      <c r="A7" s="151" t="s">
        <v>6</v>
      </c>
      <c r="B7" s="239" t="s">
        <v>7</v>
      </c>
      <c r="C7" s="239"/>
      <c r="D7" s="239"/>
      <c r="E7" s="239"/>
      <c r="F7" s="239"/>
      <c r="G7" s="240"/>
    </row>
    <row r="8" spans="1:17" s="43" customFormat="1">
      <c r="A8" s="151" t="s">
        <v>8</v>
      </c>
      <c r="B8" s="227" t="s">
        <v>9</v>
      </c>
      <c r="C8" s="227"/>
      <c r="D8" s="227"/>
      <c r="E8" s="227"/>
      <c r="F8" s="227"/>
      <c r="G8" s="228"/>
    </row>
    <row r="9" spans="1:17" s="43" customFormat="1" ht="12.75" customHeight="1">
      <c r="A9" s="151" t="s">
        <v>10</v>
      </c>
      <c r="B9" s="242" t="s">
        <v>11</v>
      </c>
      <c r="C9" s="242"/>
      <c r="D9" s="242"/>
      <c r="E9" s="242"/>
      <c r="F9" s="242"/>
      <c r="G9" s="243"/>
      <c r="I9" s="43" t="s">
        <v>46</v>
      </c>
    </row>
    <row r="10" spans="1:17" s="43" customFormat="1" ht="44.85" customHeight="1">
      <c r="A10" s="244" t="s">
        <v>152</v>
      </c>
      <c r="B10" s="245"/>
      <c r="C10" s="245"/>
      <c r="D10" s="245"/>
      <c r="E10" s="245"/>
      <c r="F10" s="245"/>
      <c r="G10" s="246"/>
    </row>
    <row r="11" spans="1:17" s="43" customFormat="1" ht="12.75" customHeight="1">
      <c r="A11" s="200" t="s">
        <v>13</v>
      </c>
      <c r="B11" s="237" t="s">
        <v>14</v>
      </c>
      <c r="C11" s="237"/>
      <c r="D11" s="237"/>
      <c r="E11" s="237"/>
      <c r="F11" s="237"/>
      <c r="G11" s="238"/>
    </row>
    <row r="12" spans="1:17" s="43" customFormat="1" ht="12.75" customHeight="1">
      <c r="A12" s="150"/>
      <c r="B12" s="237"/>
      <c r="C12" s="237"/>
      <c r="D12" s="237"/>
      <c r="E12" s="237"/>
      <c r="F12" s="237"/>
      <c r="G12" s="238"/>
    </row>
    <row r="13" spans="1:17" s="43" customFormat="1" ht="12.75" customHeight="1">
      <c r="A13" s="151" t="s">
        <v>8</v>
      </c>
      <c r="B13" s="227" t="s">
        <v>15</v>
      </c>
      <c r="C13" s="227"/>
      <c r="D13" s="227"/>
      <c r="E13" s="227"/>
      <c r="F13" s="227"/>
      <c r="G13" s="228"/>
    </row>
    <row r="14" spans="1:17" s="43" customFormat="1" ht="12.75" customHeight="1" thickBot="1">
      <c r="A14" s="151" t="s">
        <v>16</v>
      </c>
      <c r="B14" s="247" t="s">
        <v>17</v>
      </c>
      <c r="C14" s="247"/>
      <c r="D14" s="247"/>
      <c r="E14" s="247"/>
      <c r="F14" s="247"/>
      <c r="G14" s="248"/>
    </row>
    <row r="15" spans="1:17" s="43" customFormat="1">
      <c r="A15" s="249" t="s">
        <v>153</v>
      </c>
      <c r="B15" s="250"/>
      <c r="C15" s="250"/>
      <c r="D15" s="250"/>
      <c r="E15" s="250"/>
      <c r="F15" s="250"/>
      <c r="G15" s="251"/>
    </row>
    <row r="16" spans="1:17" s="43" customFormat="1" ht="13.5" thickBot="1">
      <c r="A16" s="252" t="s">
        <v>135</v>
      </c>
      <c r="B16" s="253"/>
      <c r="C16" s="253"/>
      <c r="D16" s="253"/>
      <c r="E16" s="253"/>
      <c r="F16" s="253"/>
      <c r="G16" s="254"/>
    </row>
    <row r="17" spans="1:7" s="43" customFormat="1" ht="15" thickTop="1">
      <c r="A17" s="152" t="s">
        <v>124</v>
      </c>
      <c r="B17" s="56"/>
      <c r="C17" s="56"/>
      <c r="D17" s="56"/>
      <c r="E17" s="56"/>
      <c r="F17" s="56"/>
      <c r="G17" s="143"/>
    </row>
    <row r="18" spans="1:7" s="43" customFormat="1">
      <c r="A18" s="200" t="s">
        <v>20</v>
      </c>
      <c r="B18" s="56"/>
      <c r="C18" s="58"/>
      <c r="D18" s="59">
        <v>0</v>
      </c>
      <c r="E18" s="72" t="s">
        <v>77</v>
      </c>
      <c r="F18" s="61">
        <f>D18/43560</f>
        <v>0</v>
      </c>
      <c r="G18" s="153" t="s">
        <v>22</v>
      </c>
    </row>
    <row r="19" spans="1:7" s="43" customFormat="1">
      <c r="A19" s="154" t="s">
        <v>23</v>
      </c>
      <c r="B19" s="64">
        <v>0.9</v>
      </c>
      <c r="C19" s="65"/>
      <c r="D19" s="65"/>
      <c r="E19" s="65"/>
      <c r="F19" s="65"/>
      <c r="G19" s="155"/>
    </row>
    <row r="20" spans="1:7" s="43" customFormat="1">
      <c r="A20" s="200" t="s">
        <v>162</v>
      </c>
      <c r="B20" s="56"/>
      <c r="C20" s="56"/>
      <c r="D20" s="59">
        <v>0</v>
      </c>
      <c r="E20" s="72" t="s">
        <v>77</v>
      </c>
      <c r="F20" s="61">
        <f>D20/43560</f>
        <v>0</v>
      </c>
      <c r="G20" s="153" t="s">
        <v>22</v>
      </c>
    </row>
    <row r="21" spans="1:7" s="43" customFormat="1">
      <c r="A21" s="154" t="s">
        <v>25</v>
      </c>
      <c r="B21" s="64">
        <v>0.25</v>
      </c>
      <c r="C21" s="65"/>
      <c r="D21" s="65"/>
      <c r="E21" s="65"/>
      <c r="F21" s="65"/>
      <c r="G21" s="155"/>
    </row>
    <row r="22" spans="1:7" s="43" customFormat="1">
      <c r="A22" s="200" t="s">
        <v>26</v>
      </c>
      <c r="B22" s="56"/>
      <c r="C22" s="56"/>
      <c r="D22" s="123">
        <v>24255</v>
      </c>
      <c r="E22" s="72" t="s">
        <v>77</v>
      </c>
      <c r="F22" s="61">
        <f>D22/43560</f>
        <v>0.55681818181818177</v>
      </c>
      <c r="G22" s="153" t="s">
        <v>22</v>
      </c>
    </row>
    <row r="23" spans="1:7" s="43" customFormat="1">
      <c r="A23" s="154" t="s">
        <v>28</v>
      </c>
      <c r="B23" s="64">
        <v>0.15</v>
      </c>
      <c r="C23" s="65"/>
      <c r="D23" s="65"/>
      <c r="E23" s="65"/>
      <c r="F23" s="65"/>
      <c r="G23" s="155"/>
    </row>
    <row r="24" spans="1:7" s="43" customFormat="1">
      <c r="A24" s="200" t="s">
        <v>29</v>
      </c>
      <c r="B24" s="56"/>
      <c r="C24" s="56"/>
      <c r="D24" s="182">
        <f>D18+D20+D22</f>
        <v>24255</v>
      </c>
      <c r="E24" s="72" t="s">
        <v>77</v>
      </c>
      <c r="F24" s="61">
        <f>ROUND(F18+F20+F22,3)</f>
        <v>0.55700000000000005</v>
      </c>
      <c r="G24" s="153" t="s">
        <v>22</v>
      </c>
    </row>
    <row r="25" spans="1:7" s="43" customFormat="1" ht="14.25" customHeight="1">
      <c r="A25" s="154" t="s">
        <v>30</v>
      </c>
      <c r="B25" s="68">
        <f>(D18/D24*B19)+(D20/D24*B21)+(D22/D24*B23)</f>
        <v>0.15</v>
      </c>
      <c r="C25" s="69"/>
      <c r="D25" s="65"/>
      <c r="E25" s="70"/>
      <c r="F25" s="65"/>
      <c r="G25" s="155"/>
    </row>
    <row r="26" spans="1:7" s="43" customFormat="1">
      <c r="A26" s="156"/>
      <c r="B26" s="72"/>
      <c r="C26" s="56"/>
      <c r="D26" s="56"/>
      <c r="E26" s="56"/>
      <c r="F26" s="56"/>
      <c r="G26" s="143"/>
    </row>
    <row r="27" spans="1:7" s="43" customFormat="1">
      <c r="A27" s="200"/>
      <c r="B27" s="60"/>
      <c r="C27" s="72"/>
      <c r="D27" s="60"/>
      <c r="E27" s="72"/>
      <c r="F27" s="60"/>
      <c r="G27" s="153"/>
    </row>
    <row r="28" spans="1:7" s="43" customFormat="1">
      <c r="A28" s="200" t="s">
        <v>31</v>
      </c>
      <c r="B28" s="72"/>
      <c r="C28" s="72"/>
      <c r="D28" s="72"/>
      <c r="E28" s="72"/>
      <c r="F28" s="72"/>
      <c r="G28" s="153"/>
    </row>
    <row r="29" spans="1:7" s="43" customFormat="1">
      <c r="A29" s="200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157">
        <v>1</v>
      </c>
    </row>
    <row r="30" spans="1:7" s="43" customFormat="1">
      <c r="A30" s="144"/>
      <c r="B30" s="60" t="s">
        <v>30</v>
      </c>
      <c r="C30" s="76">
        <f>B25</f>
        <v>0.15</v>
      </c>
      <c r="D30" s="72" t="s">
        <v>36</v>
      </c>
      <c r="E30" s="56"/>
      <c r="F30" s="56"/>
      <c r="G30" s="143"/>
    </row>
    <row r="31" spans="1:7" s="43" customFormat="1">
      <c r="A31" s="144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143"/>
    </row>
    <row r="32" spans="1:7" s="43" customFormat="1" ht="12.75" customHeight="1">
      <c r="A32" s="200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143"/>
    </row>
    <row r="33" spans="1:17" s="43" customFormat="1" ht="25.5">
      <c r="A33" s="158" t="s">
        <v>42</v>
      </c>
      <c r="B33" s="60" t="s">
        <v>43</v>
      </c>
      <c r="C33" s="80">
        <f>'Intensity calcs'!K26</f>
        <v>5.99</v>
      </c>
      <c r="D33" s="72" t="s">
        <v>44</v>
      </c>
      <c r="E33" s="56"/>
      <c r="F33" s="56"/>
      <c r="G33" s="143"/>
    </row>
    <row r="34" spans="1:17" s="43" customFormat="1" ht="13.5" thickBot="1">
      <c r="A34" s="144"/>
      <c r="B34" s="56"/>
      <c r="C34" s="56"/>
      <c r="D34" s="56"/>
      <c r="E34" s="56"/>
      <c r="F34" s="56"/>
      <c r="G34" s="143"/>
    </row>
    <row r="35" spans="1:17" s="43" customFormat="1" ht="15" thickBot="1">
      <c r="A35" s="159" t="s">
        <v>125</v>
      </c>
      <c r="B35" s="82">
        <f>F24*B25*C33</f>
        <v>0.50046449999999998</v>
      </c>
      <c r="C35" s="83" t="s">
        <v>45</v>
      </c>
      <c r="D35" s="255"/>
      <c r="E35" s="256"/>
      <c r="F35" s="92"/>
      <c r="G35" s="161"/>
    </row>
    <row r="36" spans="1:17" s="43" customFormat="1" ht="13.5" thickTop="1">
      <c r="A36" s="249" t="s">
        <v>48</v>
      </c>
      <c r="B36" s="250"/>
      <c r="C36" s="250"/>
      <c r="D36" s="250"/>
      <c r="E36" s="250"/>
      <c r="F36" s="250"/>
      <c r="G36" s="251"/>
    </row>
    <row r="37" spans="1:17" s="43" customFormat="1" ht="13.5" thickBot="1">
      <c r="A37" s="252" t="s">
        <v>60</v>
      </c>
      <c r="B37" s="253"/>
      <c r="C37" s="253"/>
      <c r="D37" s="253"/>
      <c r="E37" s="253"/>
      <c r="F37" s="253"/>
      <c r="G37" s="254"/>
    </row>
    <row r="38" spans="1:17" s="43" customFormat="1" ht="15.6" customHeight="1" thickTop="1">
      <c r="A38" s="152" t="s">
        <v>126</v>
      </c>
      <c r="B38" s="56"/>
      <c r="C38" s="56"/>
      <c r="D38" s="56"/>
      <c r="E38" s="56"/>
      <c r="F38" s="56"/>
      <c r="G38" s="143"/>
    </row>
    <row r="39" spans="1:17" s="43" customFormat="1" ht="13.35" customHeight="1">
      <c r="A39" s="200" t="s">
        <v>20</v>
      </c>
      <c r="B39" s="56"/>
      <c r="C39" s="58"/>
      <c r="D39" s="123">
        <v>16808</v>
      </c>
      <c r="E39" s="72" t="s">
        <v>77</v>
      </c>
      <c r="F39" s="61">
        <f>D39/43560</f>
        <v>0.38585858585858585</v>
      </c>
      <c r="G39" s="153" t="s">
        <v>22</v>
      </c>
    </row>
    <row r="40" spans="1:17" s="43" customFormat="1" ht="12.75" customHeight="1">
      <c r="A40" s="154" t="s">
        <v>23</v>
      </c>
      <c r="B40" s="180">
        <v>0.9</v>
      </c>
      <c r="C40" s="65"/>
      <c r="D40" s="65"/>
      <c r="E40" s="65"/>
      <c r="F40" s="65"/>
      <c r="G40" s="155"/>
    </row>
    <row r="41" spans="1:17" s="43" customFormat="1" ht="12.75" customHeight="1">
      <c r="A41" s="200" t="s">
        <v>162</v>
      </c>
      <c r="B41" s="56"/>
      <c r="C41" s="56"/>
      <c r="D41" s="123">
        <v>4302</v>
      </c>
      <c r="E41" s="72" t="s">
        <v>77</v>
      </c>
      <c r="F41" s="61">
        <f>D41/43560</f>
        <v>9.8760330578512398E-2</v>
      </c>
      <c r="G41" s="153" t="s">
        <v>22</v>
      </c>
    </row>
    <row r="42" spans="1:17" s="43" customFormat="1" ht="12.75" customHeight="1">
      <c r="A42" s="154" t="s">
        <v>25</v>
      </c>
      <c r="B42" s="180">
        <v>0.3</v>
      </c>
      <c r="C42" s="65"/>
      <c r="D42" s="65"/>
      <c r="E42" s="65"/>
      <c r="F42" s="65"/>
      <c r="G42" s="155"/>
    </row>
    <row r="43" spans="1:17" s="43" customFormat="1">
      <c r="A43" s="200" t="s">
        <v>26</v>
      </c>
      <c r="B43" s="56"/>
      <c r="C43" s="56"/>
      <c r="D43" s="181">
        <v>3145</v>
      </c>
      <c r="E43" s="72" t="s">
        <v>77</v>
      </c>
      <c r="F43" s="61">
        <f>D43/43560</f>
        <v>7.2199265381083566E-2</v>
      </c>
      <c r="G43" s="153" t="s">
        <v>22</v>
      </c>
    </row>
    <row r="44" spans="1:17" s="43" customFormat="1">
      <c r="A44" s="154" t="s">
        <v>28</v>
      </c>
      <c r="B44" s="64">
        <v>0.15</v>
      </c>
      <c r="C44" s="65"/>
      <c r="D44" s="65"/>
      <c r="E44" s="65"/>
      <c r="F44" s="65"/>
      <c r="G44" s="155"/>
      <c r="H44" s="46"/>
      <c r="I44" s="46"/>
      <c r="J44" s="46"/>
    </row>
    <row r="45" spans="1:17" s="43" customFormat="1">
      <c r="A45" s="200" t="s">
        <v>29</v>
      </c>
      <c r="B45" s="56"/>
      <c r="C45" s="56"/>
      <c r="D45" s="182">
        <f>D39+D41+D43</f>
        <v>24255</v>
      </c>
      <c r="E45" s="72" t="s">
        <v>77</v>
      </c>
      <c r="F45" s="61">
        <f>ROUND(F39+F41+F43,3)</f>
        <v>0.55700000000000005</v>
      </c>
      <c r="G45" s="153" t="s">
        <v>22</v>
      </c>
      <c r="H45" s="56"/>
      <c r="I45" s="46"/>
      <c r="J45" s="46"/>
    </row>
    <row r="46" spans="1:17" s="43" customFormat="1">
      <c r="A46" s="154" t="s">
        <v>30</v>
      </c>
      <c r="B46" s="68">
        <f>(D39/D45*B40)+(D41/D45*B42)+(D43/D45*B44)</f>
        <v>0.6963327149041435</v>
      </c>
      <c r="C46" s="69"/>
      <c r="D46" s="65"/>
      <c r="E46" s="70"/>
      <c r="F46" s="65"/>
      <c r="G46" s="155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156"/>
      <c r="B47" s="72"/>
      <c r="C47" s="56"/>
      <c r="D47" s="56"/>
      <c r="E47" s="56"/>
      <c r="F47" s="56"/>
      <c r="G47" s="143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200"/>
      <c r="B48" s="60"/>
      <c r="C48" s="72"/>
      <c r="D48" s="60"/>
      <c r="E48" s="72"/>
      <c r="F48" s="60"/>
      <c r="G48" s="153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200" t="s">
        <v>31</v>
      </c>
      <c r="B49" s="72"/>
      <c r="C49" s="72"/>
      <c r="D49" s="72"/>
      <c r="E49" s="72"/>
      <c r="F49" s="72"/>
      <c r="G49" s="153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200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157">
        <v>1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144"/>
      <c r="B51" s="60" t="s">
        <v>30</v>
      </c>
      <c r="C51" s="76">
        <f>B46</f>
        <v>0.6963327149041435</v>
      </c>
      <c r="D51" s="72" t="s">
        <v>36</v>
      </c>
      <c r="E51" s="56"/>
      <c r="F51" s="56"/>
      <c r="G51" s="143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144"/>
      <c r="B52" s="60" t="s">
        <v>37</v>
      </c>
      <c r="C52" s="77">
        <f>G50/C50*100</f>
        <v>0.58823529411764708</v>
      </c>
      <c r="D52" s="72" t="s">
        <v>38</v>
      </c>
      <c r="E52" s="56"/>
      <c r="F52" s="56"/>
      <c r="G52" s="143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200" t="s">
        <v>39</v>
      </c>
      <c r="B53" s="60" t="s">
        <v>40</v>
      </c>
      <c r="C53" s="76">
        <f>(C50^0.8*(1000/B46-9)^0.7)/1140*(C52^0.5)</f>
        <v>6.6122134643726955</v>
      </c>
      <c r="D53" s="72" t="s">
        <v>41</v>
      </c>
      <c r="E53" s="78"/>
      <c r="F53" s="72"/>
      <c r="G53" s="143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158" t="s">
        <v>42</v>
      </c>
      <c r="B54" s="60" t="s">
        <v>43</v>
      </c>
      <c r="C54" s="80">
        <f>'Intensity calcs'!K33</f>
        <v>7.67</v>
      </c>
      <c r="D54" s="72" t="s">
        <v>44</v>
      </c>
      <c r="E54" s="56"/>
      <c r="F54" s="56"/>
      <c r="G54" s="143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>
      <c r="A55" s="144"/>
      <c r="B55" s="56"/>
      <c r="C55" s="56"/>
      <c r="D55" s="56"/>
      <c r="E55" s="56"/>
      <c r="F55" s="56"/>
      <c r="G55" s="143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>
      <c r="A56" s="159" t="s">
        <v>127</v>
      </c>
      <c r="B56" s="82">
        <f>F45*B46*C54</f>
        <v>2.9748656612863331</v>
      </c>
      <c r="C56" s="83" t="s">
        <v>45</v>
      </c>
      <c r="D56" s="84" t="s">
        <v>46</v>
      </c>
      <c r="E56" s="199"/>
      <c r="F56" s="92"/>
      <c r="G56" s="161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 ht="13.35" customHeight="1" thickTop="1" thickBot="1">
      <c r="A57" s="257" t="s">
        <v>166</v>
      </c>
      <c r="B57" s="258"/>
      <c r="C57" s="258"/>
      <c r="D57" s="258"/>
      <c r="E57" s="258"/>
      <c r="F57" s="258"/>
      <c r="G57" s="259"/>
      <c r="H57" s="56"/>
      <c r="I57" s="90"/>
      <c r="J57" s="90"/>
      <c r="K57" s="46"/>
      <c r="L57" s="46"/>
      <c r="M57" s="46"/>
      <c r="N57" s="46"/>
      <c r="O57" s="46"/>
      <c r="P57" s="46"/>
      <c r="Q57" s="46"/>
    </row>
    <row r="58" spans="1:17" s="43" customFormat="1" ht="13.35" customHeight="1" thickTop="1">
      <c r="A58" s="156" t="s">
        <v>169</v>
      </c>
      <c r="B58" s="185" t="s">
        <v>168</v>
      </c>
      <c r="C58" s="72" t="s">
        <v>170</v>
      </c>
      <c r="D58" s="241" t="s">
        <v>171</v>
      </c>
      <c r="E58" s="241"/>
      <c r="F58" s="184" t="s">
        <v>172</v>
      </c>
      <c r="G58" s="183"/>
      <c r="H58" s="56"/>
      <c r="I58" s="90"/>
      <c r="J58" s="90"/>
      <c r="K58" s="46"/>
      <c r="L58" s="46"/>
      <c r="M58" s="46"/>
      <c r="N58" s="46"/>
      <c r="O58" s="46"/>
      <c r="P58" s="46"/>
      <c r="Q58" s="46"/>
    </row>
    <row r="59" spans="1:17" s="43" customFormat="1" ht="13.35" customHeight="1">
      <c r="A59" s="156" t="s">
        <v>173</v>
      </c>
      <c r="B59" s="185" t="s">
        <v>167</v>
      </c>
      <c r="C59" s="72" t="s">
        <v>206</v>
      </c>
      <c r="D59" s="263" t="s">
        <v>183</v>
      </c>
      <c r="E59" s="263"/>
      <c r="F59" s="264" t="s">
        <v>177</v>
      </c>
      <c r="G59" s="265"/>
      <c r="H59" s="56"/>
      <c r="I59" s="90"/>
      <c r="J59" s="90"/>
      <c r="K59" s="46"/>
      <c r="L59" s="46"/>
      <c r="M59" s="46"/>
      <c r="N59" s="46"/>
      <c r="O59" s="46"/>
      <c r="P59" s="46"/>
      <c r="Q59" s="46"/>
    </row>
    <row r="60" spans="1:17" s="43" customFormat="1" ht="13.35" customHeight="1">
      <c r="A60" s="156" t="s">
        <v>174</v>
      </c>
      <c r="B60" s="185" t="s">
        <v>175</v>
      </c>
      <c r="C60" s="43" t="s">
        <v>176</v>
      </c>
      <c r="D60" s="263" t="s">
        <v>184</v>
      </c>
      <c r="E60" s="263"/>
      <c r="F60" s="264" t="s">
        <v>178</v>
      </c>
      <c r="G60" s="265"/>
      <c r="H60" s="56"/>
      <c r="I60" s="90"/>
      <c r="J60" s="90"/>
      <c r="K60" s="46"/>
      <c r="L60" s="46"/>
      <c r="M60" s="46"/>
      <c r="N60" s="46"/>
      <c r="O60" s="46"/>
      <c r="P60" s="46"/>
      <c r="Q60" s="46"/>
    </row>
    <row r="61" spans="1:17" s="43" customFormat="1" ht="13.35" customHeight="1" thickBot="1">
      <c r="A61" s="187"/>
      <c r="B61" s="188"/>
      <c r="C61" s="127" t="s">
        <v>179</v>
      </c>
      <c r="D61" s="266" t="s">
        <v>180</v>
      </c>
      <c r="E61" s="266"/>
      <c r="F61" s="267" t="s">
        <v>181</v>
      </c>
      <c r="G61" s="268"/>
      <c r="H61" s="56"/>
      <c r="I61" s="90"/>
      <c r="J61" s="90"/>
      <c r="K61" s="46"/>
      <c r="L61" s="46"/>
      <c r="M61" s="46"/>
      <c r="N61" s="46"/>
      <c r="O61" s="46"/>
      <c r="P61" s="46"/>
      <c r="Q61" s="46"/>
    </row>
    <row r="62" spans="1:17" s="43" customFormat="1" ht="13.35" customHeight="1" thickBot="1">
      <c r="A62" s="269" t="s">
        <v>141</v>
      </c>
      <c r="B62" s="270"/>
      <c r="C62" s="270"/>
      <c r="D62" s="270"/>
      <c r="E62" s="270"/>
      <c r="F62" s="270"/>
      <c r="G62" s="271"/>
      <c r="H62" s="56"/>
      <c r="I62" s="90"/>
      <c r="J62" s="90"/>
      <c r="K62" s="46"/>
      <c r="L62" s="46"/>
      <c r="M62" s="46"/>
      <c r="N62" s="46"/>
      <c r="O62" s="46"/>
      <c r="P62" s="46"/>
      <c r="Q62" s="46"/>
    </row>
    <row r="63" spans="1:17" s="43" customFormat="1" ht="13.35" customHeight="1" thickTop="1">
      <c r="A63" s="272" t="s">
        <v>182</v>
      </c>
      <c r="B63" s="273"/>
      <c r="C63" s="273"/>
      <c r="D63" s="273"/>
      <c r="E63" s="273"/>
      <c r="F63" s="273"/>
      <c r="G63" s="274"/>
      <c r="H63" s="56"/>
      <c r="I63" s="90"/>
      <c r="J63" s="90"/>
      <c r="K63" s="46"/>
      <c r="L63" s="46"/>
      <c r="M63" s="46"/>
      <c r="N63" s="46"/>
      <c r="O63" s="46"/>
      <c r="P63" s="46"/>
      <c r="Q63" s="46"/>
    </row>
    <row r="64" spans="1:17" s="43" customFormat="1">
      <c r="A64" s="275" t="s">
        <v>160</v>
      </c>
      <c r="B64" s="276"/>
      <c r="C64" s="276"/>
      <c r="D64" s="189">
        <f>(1.25/12)*D39</f>
        <v>1750.8333333333335</v>
      </c>
      <c r="E64" s="134" t="s">
        <v>161</v>
      </c>
      <c r="F64" s="176">
        <f>D64*7.48</f>
        <v>13096.233333333335</v>
      </c>
      <c r="G64" s="190" t="s">
        <v>149</v>
      </c>
    </row>
    <row r="65" spans="1:17" s="43" customFormat="1" ht="13.35" customHeight="1">
      <c r="A65" s="277" t="s">
        <v>189</v>
      </c>
      <c r="B65" s="278"/>
      <c r="C65" s="278"/>
      <c r="D65" s="278"/>
      <c r="E65" s="278"/>
      <c r="F65" s="279"/>
      <c r="G65" s="280"/>
      <c r="H65" s="56"/>
      <c r="I65" s="90"/>
      <c r="J65" s="90"/>
      <c r="K65" s="46"/>
      <c r="L65" s="46"/>
      <c r="M65" s="46"/>
      <c r="N65" s="46"/>
      <c r="O65" s="46"/>
      <c r="P65" s="46"/>
      <c r="Q65" s="46"/>
    </row>
    <row r="66" spans="1:17" s="43" customFormat="1" ht="13.35" customHeight="1">
      <c r="A66" s="260" t="s">
        <v>190</v>
      </c>
      <c r="B66" s="281"/>
      <c r="C66" s="281"/>
      <c r="D66" s="281"/>
      <c r="E66" s="281"/>
      <c r="F66" s="281"/>
      <c r="G66" s="282"/>
      <c r="H66" s="56"/>
      <c r="I66" s="90"/>
      <c r="J66" s="90"/>
      <c r="K66" s="46"/>
      <c r="L66" s="46"/>
      <c r="M66" s="46"/>
      <c r="N66" s="46"/>
      <c r="O66" s="46"/>
      <c r="P66" s="46"/>
      <c r="Q66" s="46"/>
    </row>
    <row r="67" spans="1:17" s="43" customFormat="1" ht="13.35" customHeight="1">
      <c r="A67" s="260" t="s">
        <v>185</v>
      </c>
      <c r="B67" s="261"/>
      <c r="C67" s="261"/>
      <c r="D67" s="261"/>
      <c r="E67" s="261"/>
      <c r="F67" s="261"/>
      <c r="G67" s="262"/>
      <c r="H67" s="56"/>
      <c r="I67" s="90"/>
      <c r="J67" s="90"/>
      <c r="K67" s="46"/>
      <c r="L67" s="46"/>
      <c r="M67" s="46"/>
      <c r="N67" s="46"/>
      <c r="O67" s="46"/>
      <c r="P67" s="46"/>
      <c r="Q67" s="46"/>
    </row>
    <row r="68" spans="1:17" s="43" customFormat="1" ht="13.35" customHeight="1" thickBot="1">
      <c r="A68" s="156" t="s">
        <v>186</v>
      </c>
      <c r="B68" s="283" t="s">
        <v>187</v>
      </c>
      <c r="C68" s="284"/>
      <c r="D68" s="284"/>
      <c r="E68" s="284"/>
      <c r="F68" s="284"/>
      <c r="G68" s="183"/>
      <c r="H68" s="56"/>
      <c r="I68" s="90"/>
      <c r="J68" s="90"/>
      <c r="K68" s="46"/>
      <c r="L68" s="46"/>
      <c r="M68" s="46"/>
      <c r="N68" s="46"/>
      <c r="O68" s="46"/>
      <c r="P68" s="46"/>
      <c r="Q68" s="46"/>
    </row>
    <row r="69" spans="1:17" s="43" customFormat="1" ht="14.25" thickTop="1" thickBot="1">
      <c r="A69" s="285" t="s">
        <v>141</v>
      </c>
      <c r="B69" s="286"/>
      <c r="C69" s="286"/>
      <c r="D69" s="286"/>
      <c r="E69" s="286"/>
      <c r="F69" s="286"/>
      <c r="G69" s="287"/>
      <c r="I69" s="46"/>
      <c r="J69" s="46"/>
      <c r="K69" s="46"/>
      <c r="L69" s="46"/>
      <c r="M69" s="46"/>
      <c r="N69" s="46"/>
      <c r="O69" s="46"/>
      <c r="P69" s="46"/>
      <c r="Q69" s="46"/>
    </row>
    <row r="70" spans="1:17" s="43" customFormat="1" ht="13.5" thickTop="1">
      <c r="A70" s="288" t="s">
        <v>160</v>
      </c>
      <c r="B70" s="289"/>
      <c r="C70" s="289"/>
      <c r="D70" s="191">
        <v>1173.7</v>
      </c>
      <c r="E70" s="72" t="s">
        <v>161</v>
      </c>
      <c r="F70" s="133">
        <f>D70*7.48</f>
        <v>8779.2760000000017</v>
      </c>
      <c r="G70" s="173" t="s">
        <v>149</v>
      </c>
    </row>
    <row r="71" spans="1:17" s="43" customFormat="1">
      <c r="A71" s="290" t="s">
        <v>199</v>
      </c>
      <c r="B71" s="289"/>
      <c r="C71" s="281"/>
      <c r="D71" s="281"/>
      <c r="E71" s="178">
        <v>8.8000000000000007</v>
      </c>
      <c r="F71" s="263" t="s">
        <v>165</v>
      </c>
      <c r="G71" s="282"/>
    </row>
    <row r="72" spans="1:17" s="43" customFormat="1" ht="13.5" thickBot="1">
      <c r="A72" s="297" t="s">
        <v>164</v>
      </c>
      <c r="B72" s="298"/>
      <c r="C72" s="298"/>
      <c r="D72" s="298"/>
      <c r="E72" s="128">
        <f>D70/E71</f>
        <v>133.375</v>
      </c>
      <c r="F72" s="129"/>
      <c r="G72" s="146"/>
    </row>
    <row r="73" spans="1:17" s="43" customFormat="1" ht="13.5" thickBot="1">
      <c r="A73" s="299" t="s">
        <v>197</v>
      </c>
      <c r="B73" s="300"/>
      <c r="C73" s="300"/>
      <c r="D73" s="300"/>
      <c r="E73" s="300"/>
      <c r="F73" s="300"/>
      <c r="G73" s="301"/>
    </row>
    <row r="74" spans="1:17" s="43" customFormat="1" ht="44.25" customHeight="1" thickTop="1">
      <c r="A74" s="302" t="s">
        <v>193</v>
      </c>
      <c r="B74" s="302"/>
      <c r="C74" s="302"/>
      <c r="D74" s="302"/>
      <c r="E74" s="302"/>
      <c r="F74" s="302"/>
      <c r="G74" s="302"/>
    </row>
    <row r="75" spans="1:17" s="43" customFormat="1">
      <c r="A75" s="52" t="s">
        <v>62</v>
      </c>
      <c r="B75" s="237" t="s">
        <v>63</v>
      </c>
      <c r="C75" s="237"/>
      <c r="D75" s="237"/>
      <c r="E75" s="237"/>
      <c r="F75" s="237"/>
      <c r="G75" s="237"/>
    </row>
    <row r="76" spans="1:17" s="43" customFormat="1">
      <c r="A76" s="54" t="s">
        <v>194</v>
      </c>
      <c r="B76" s="105" t="s">
        <v>65</v>
      </c>
      <c r="C76" s="105"/>
      <c r="D76" s="105"/>
      <c r="E76" s="106"/>
      <c r="F76" s="106"/>
      <c r="G76" s="107"/>
    </row>
    <row r="77" spans="1:17" s="43" customFormat="1">
      <c r="A77" s="54" t="s">
        <v>195</v>
      </c>
      <c r="B77" s="242" t="s">
        <v>66</v>
      </c>
      <c r="C77" s="242"/>
      <c r="D77" s="242"/>
      <c r="E77" s="242"/>
      <c r="F77" s="242"/>
      <c r="G77" s="242"/>
    </row>
    <row r="78" spans="1:17" s="43" customFormat="1">
      <c r="A78" s="108" t="s">
        <v>67</v>
      </c>
      <c r="B78" s="106" t="s">
        <v>68</v>
      </c>
      <c r="C78" s="106"/>
      <c r="D78" s="106"/>
      <c r="E78" s="106"/>
      <c r="F78" s="106"/>
      <c r="G78" s="107"/>
    </row>
    <row r="79" spans="1:17" s="43" customFormat="1" ht="13.5" thickBot="1">
      <c r="A79" s="109" t="s">
        <v>69</v>
      </c>
      <c r="B79" s="110" t="s">
        <v>70</v>
      </c>
      <c r="C79" s="110"/>
      <c r="D79" s="110"/>
      <c r="E79" s="110"/>
      <c r="F79" s="110"/>
      <c r="G79" s="111"/>
    </row>
    <row r="80" spans="1:17" s="43" customFormat="1">
      <c r="A80" s="71" t="s">
        <v>196</v>
      </c>
      <c r="B80" s="61">
        <f>B35</f>
        <v>0.50046449999999998</v>
      </c>
      <c r="C80" s="72" t="s">
        <v>45</v>
      </c>
      <c r="D80" s="60" t="s">
        <v>73</v>
      </c>
      <c r="E80" s="197">
        <v>1</v>
      </c>
      <c r="F80" s="72" t="s">
        <v>74</v>
      </c>
      <c r="G80" s="57"/>
    </row>
    <row r="81" spans="1:7" s="43" customFormat="1">
      <c r="A81" s="71" t="s">
        <v>30</v>
      </c>
      <c r="B81" s="113">
        <v>0.62</v>
      </c>
      <c r="C81" s="72" t="s">
        <v>75</v>
      </c>
      <c r="D81" s="60" t="s">
        <v>76</v>
      </c>
      <c r="E81" s="114">
        <f>B80/(B81*(2*B82*E80)^0.5)</f>
        <v>0.10064879256863678</v>
      </c>
      <c r="F81" s="72" t="s">
        <v>77</v>
      </c>
      <c r="G81" s="57"/>
    </row>
    <row r="82" spans="1:7" s="43" customFormat="1">
      <c r="A82" s="71" t="s">
        <v>78</v>
      </c>
      <c r="B82" s="113">
        <v>32.159999999999997</v>
      </c>
      <c r="C82" s="72" t="s">
        <v>79</v>
      </c>
      <c r="D82" s="46"/>
      <c r="E82" s="46"/>
      <c r="F82" s="56"/>
      <c r="G82" s="57"/>
    </row>
    <row r="83" spans="1:7" s="43" customFormat="1" ht="13.5" thickBot="1">
      <c r="A83" s="75"/>
      <c r="B83" s="56"/>
      <c r="C83" s="56"/>
      <c r="D83" s="56"/>
      <c r="E83" s="56"/>
      <c r="F83" s="56"/>
      <c r="G83" s="57"/>
    </row>
    <row r="84" spans="1:7" s="43" customFormat="1" ht="13.5" thickBot="1">
      <c r="B84" s="303" t="s">
        <v>198</v>
      </c>
      <c r="C84" s="304"/>
      <c r="D84" s="198">
        <f>((E81/PI())^0.5)*2*12</f>
        <v>4.2957657393374973</v>
      </c>
      <c r="E84" s="118" t="s">
        <v>81</v>
      </c>
      <c r="F84" s="116"/>
      <c r="G84" s="119"/>
    </row>
    <row r="85" spans="1:7" s="43" customFormat="1" ht="13.5" thickTop="1">
      <c r="A85" s="120" t="s">
        <v>82</v>
      </c>
      <c r="B85" s="56"/>
      <c r="C85" s="56"/>
      <c r="D85" s="125"/>
      <c r="E85" s="124"/>
      <c r="F85" s="56"/>
      <c r="G85" s="56"/>
    </row>
    <row r="86" spans="1:7" s="43" customFormat="1" ht="13.35" customHeight="1">
      <c r="A86" s="291" t="s">
        <v>129</v>
      </c>
      <c r="B86" s="292"/>
      <c r="C86" s="292"/>
      <c r="D86" s="292"/>
      <c r="E86" s="292"/>
      <c r="F86" s="292"/>
      <c r="G86" s="293"/>
    </row>
    <row r="87" spans="1:7" s="43" customFormat="1" ht="13.35" customHeight="1">
      <c r="A87" s="291" t="s">
        <v>130</v>
      </c>
      <c r="B87" s="292"/>
      <c r="C87" s="292"/>
      <c r="D87" s="292"/>
      <c r="E87" s="292"/>
      <c r="F87" s="292"/>
      <c r="G87" s="293"/>
    </row>
    <row r="88" spans="1:7" s="43" customFormat="1">
      <c r="A88" s="172" t="s">
        <v>131</v>
      </c>
      <c r="B88" s="46"/>
      <c r="C88" s="46"/>
      <c r="D88" s="46"/>
      <c r="E88" s="46"/>
      <c r="F88" s="46"/>
      <c r="G88" s="173"/>
    </row>
    <row r="89" spans="1:7" s="43" customFormat="1" ht="13.35" customHeight="1">
      <c r="A89" s="291" t="s">
        <v>132</v>
      </c>
      <c r="B89" s="292"/>
      <c r="C89" s="292"/>
      <c r="D89" s="292"/>
      <c r="E89" s="292"/>
      <c r="F89" s="292"/>
      <c r="G89" s="293"/>
    </row>
    <row r="90" spans="1:7" s="43" customFormat="1" ht="13.35" customHeight="1" thickBot="1">
      <c r="A90" s="294" t="s">
        <v>133</v>
      </c>
      <c r="B90" s="295"/>
      <c r="C90" s="295"/>
      <c r="D90" s="295"/>
      <c r="E90" s="295"/>
      <c r="F90" s="295"/>
      <c r="G90" s="296"/>
    </row>
  </sheetData>
  <mergeCells count="45">
    <mergeCell ref="A86:G86"/>
    <mergeCell ref="A87:G87"/>
    <mergeCell ref="A89:G89"/>
    <mergeCell ref="A90:G90"/>
    <mergeCell ref="A72:D72"/>
    <mergeCell ref="A73:G73"/>
    <mergeCell ref="A74:G74"/>
    <mergeCell ref="B75:G75"/>
    <mergeCell ref="B77:G77"/>
    <mergeCell ref="B84:C84"/>
    <mergeCell ref="B68:F68"/>
    <mergeCell ref="A69:G69"/>
    <mergeCell ref="A70:C70"/>
    <mergeCell ref="A71:D71"/>
    <mergeCell ref="F71:G71"/>
    <mergeCell ref="A67:G67"/>
    <mergeCell ref="D59:E59"/>
    <mergeCell ref="F59:G59"/>
    <mergeCell ref="D60:E60"/>
    <mergeCell ref="F60:G60"/>
    <mergeCell ref="D61:E61"/>
    <mergeCell ref="F61:G61"/>
    <mergeCell ref="A62:G62"/>
    <mergeCell ref="A63:G63"/>
    <mergeCell ref="A64:C64"/>
    <mergeCell ref="A65:G65"/>
    <mergeCell ref="A66:G66"/>
    <mergeCell ref="D58:E58"/>
    <mergeCell ref="B9:G9"/>
    <mergeCell ref="A10:G10"/>
    <mergeCell ref="B11:G12"/>
    <mergeCell ref="B13:G13"/>
    <mergeCell ref="B14:G14"/>
    <mergeCell ref="A15:G15"/>
    <mergeCell ref="A16:G16"/>
    <mergeCell ref="D35:E35"/>
    <mergeCell ref="A36:G36"/>
    <mergeCell ref="A37:G37"/>
    <mergeCell ref="A57:G57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3" scale="82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4"/>
  <sheetViews>
    <sheetView topLeftCell="A4" workbookViewId="0">
      <selection activeCell="D70" sqref="D70"/>
    </sheetView>
  </sheetViews>
  <sheetFormatPr defaultRowHeight="12.75"/>
  <cols>
    <col min="1" max="1" width="19.7109375" customWidth="1"/>
    <col min="2" max="2" width="22.140625" customWidth="1"/>
    <col min="3" max="3" width="11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147" t="s">
        <v>0</v>
      </c>
      <c r="B1" s="229" t="s">
        <v>158</v>
      </c>
      <c r="C1" s="229"/>
      <c r="D1" s="229"/>
      <c r="E1" s="229"/>
      <c r="F1" s="229"/>
      <c r="G1" s="230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>
      <c r="A2" s="231" t="s">
        <v>1</v>
      </c>
      <c r="B2" s="232"/>
      <c r="C2" s="232"/>
      <c r="D2" s="232"/>
      <c r="E2" s="232"/>
      <c r="F2" s="232"/>
      <c r="G2" s="233"/>
    </row>
    <row r="3" spans="1:17" s="43" customFormat="1" ht="13.5" thickTop="1">
      <c r="A3" s="148" t="s">
        <v>2</v>
      </c>
      <c r="B3" s="49"/>
      <c r="C3" s="49"/>
      <c r="D3" s="49"/>
      <c r="E3" s="50"/>
      <c r="F3" s="50"/>
      <c r="G3" s="149"/>
    </row>
    <row r="4" spans="1:17" s="43" customFormat="1" ht="20.25" customHeight="1">
      <c r="A4" s="234" t="s">
        <v>3</v>
      </c>
      <c r="B4" s="235"/>
      <c r="C4" s="235"/>
      <c r="D4" s="235"/>
      <c r="E4" s="235"/>
      <c r="F4" s="235"/>
      <c r="G4" s="236"/>
    </row>
    <row r="5" spans="1:17" s="43" customFormat="1" ht="12.75" customHeight="1">
      <c r="A5" s="140" t="s">
        <v>4</v>
      </c>
      <c r="B5" s="237" t="s">
        <v>5</v>
      </c>
      <c r="C5" s="237"/>
      <c r="D5" s="237"/>
      <c r="E5" s="237"/>
      <c r="F5" s="237"/>
      <c r="G5" s="238"/>
    </row>
    <row r="6" spans="1:17" s="43" customFormat="1">
      <c r="A6" s="150"/>
      <c r="B6" s="237"/>
      <c r="C6" s="237"/>
      <c r="D6" s="237"/>
      <c r="E6" s="237"/>
      <c r="F6" s="237"/>
      <c r="G6" s="238"/>
    </row>
    <row r="7" spans="1:17" s="43" customFormat="1">
      <c r="A7" s="151" t="s">
        <v>6</v>
      </c>
      <c r="B7" s="239" t="s">
        <v>7</v>
      </c>
      <c r="C7" s="239"/>
      <c r="D7" s="239"/>
      <c r="E7" s="239"/>
      <c r="F7" s="239"/>
      <c r="G7" s="240"/>
    </row>
    <row r="8" spans="1:17" s="43" customFormat="1">
      <c r="A8" s="151" t="s">
        <v>8</v>
      </c>
      <c r="B8" s="227" t="s">
        <v>9</v>
      </c>
      <c r="C8" s="227"/>
      <c r="D8" s="227"/>
      <c r="E8" s="227"/>
      <c r="F8" s="227"/>
      <c r="G8" s="228"/>
    </row>
    <row r="9" spans="1:17" s="43" customFormat="1" ht="12.75" customHeight="1">
      <c r="A9" s="151" t="s">
        <v>10</v>
      </c>
      <c r="B9" s="242" t="s">
        <v>11</v>
      </c>
      <c r="C9" s="242"/>
      <c r="D9" s="242"/>
      <c r="E9" s="242"/>
      <c r="F9" s="242"/>
      <c r="G9" s="243"/>
      <c r="I9" s="43" t="s">
        <v>46</v>
      </c>
    </row>
    <row r="10" spans="1:17" s="43" customFormat="1" ht="44.85" customHeight="1">
      <c r="A10" s="244" t="s">
        <v>152</v>
      </c>
      <c r="B10" s="245"/>
      <c r="C10" s="245"/>
      <c r="D10" s="245"/>
      <c r="E10" s="245"/>
      <c r="F10" s="245"/>
      <c r="G10" s="246"/>
    </row>
    <row r="11" spans="1:17" s="43" customFormat="1" ht="12.75" customHeight="1">
      <c r="A11" s="140" t="s">
        <v>13</v>
      </c>
      <c r="B11" s="237" t="s">
        <v>14</v>
      </c>
      <c r="C11" s="237"/>
      <c r="D11" s="237"/>
      <c r="E11" s="237"/>
      <c r="F11" s="237"/>
      <c r="G11" s="238"/>
    </row>
    <row r="12" spans="1:17" s="43" customFormat="1" ht="12.75" customHeight="1">
      <c r="A12" s="150"/>
      <c r="B12" s="237"/>
      <c r="C12" s="237"/>
      <c r="D12" s="237"/>
      <c r="E12" s="237"/>
      <c r="F12" s="237"/>
      <c r="G12" s="238"/>
    </row>
    <row r="13" spans="1:17" s="43" customFormat="1" ht="12.75" customHeight="1">
      <c r="A13" s="151" t="s">
        <v>8</v>
      </c>
      <c r="B13" s="227" t="s">
        <v>15</v>
      </c>
      <c r="C13" s="227"/>
      <c r="D13" s="227"/>
      <c r="E13" s="227"/>
      <c r="F13" s="227"/>
      <c r="G13" s="228"/>
    </row>
    <row r="14" spans="1:17" s="43" customFormat="1" ht="12.75" customHeight="1" thickBot="1">
      <c r="A14" s="151" t="s">
        <v>16</v>
      </c>
      <c r="B14" s="247" t="s">
        <v>17</v>
      </c>
      <c r="C14" s="247"/>
      <c r="D14" s="247"/>
      <c r="E14" s="247"/>
      <c r="F14" s="247"/>
      <c r="G14" s="248"/>
    </row>
    <row r="15" spans="1:17" s="43" customFormat="1">
      <c r="A15" s="249" t="s">
        <v>153</v>
      </c>
      <c r="B15" s="250"/>
      <c r="C15" s="250"/>
      <c r="D15" s="250"/>
      <c r="E15" s="250"/>
      <c r="F15" s="250"/>
      <c r="G15" s="251"/>
    </row>
    <row r="16" spans="1:17" s="43" customFormat="1" ht="13.5" thickBot="1">
      <c r="A16" s="252" t="s">
        <v>135</v>
      </c>
      <c r="B16" s="253"/>
      <c r="C16" s="253"/>
      <c r="D16" s="253"/>
      <c r="E16" s="253"/>
      <c r="F16" s="253"/>
      <c r="G16" s="254"/>
    </row>
    <row r="17" spans="1:7" s="43" customFormat="1" ht="15" thickTop="1">
      <c r="A17" s="152" t="s">
        <v>124</v>
      </c>
      <c r="B17" s="56"/>
      <c r="C17" s="56"/>
      <c r="D17" s="56"/>
      <c r="E17" s="56"/>
      <c r="F17" s="56"/>
      <c r="G17" s="143"/>
    </row>
    <row r="18" spans="1:7" s="43" customFormat="1">
      <c r="A18" s="140" t="s">
        <v>20</v>
      </c>
      <c r="B18" s="56"/>
      <c r="C18" s="58"/>
      <c r="D18" s="59">
        <v>0</v>
      </c>
      <c r="E18" s="72" t="s">
        <v>77</v>
      </c>
      <c r="F18" s="61">
        <f>D18/43560</f>
        <v>0</v>
      </c>
      <c r="G18" s="153" t="s">
        <v>22</v>
      </c>
    </row>
    <row r="19" spans="1:7" s="43" customFormat="1">
      <c r="A19" s="154" t="s">
        <v>23</v>
      </c>
      <c r="B19" s="64">
        <v>0.9</v>
      </c>
      <c r="C19" s="65"/>
      <c r="D19" s="65"/>
      <c r="E19" s="65"/>
      <c r="F19" s="65"/>
      <c r="G19" s="155"/>
    </row>
    <row r="20" spans="1:7" s="43" customFormat="1">
      <c r="A20" s="140" t="s">
        <v>162</v>
      </c>
      <c r="B20" s="56"/>
      <c r="C20" s="56"/>
      <c r="D20" s="59">
        <v>0</v>
      </c>
      <c r="E20" s="72" t="s">
        <v>77</v>
      </c>
      <c r="F20" s="61">
        <f>D20/43560</f>
        <v>0</v>
      </c>
      <c r="G20" s="153" t="s">
        <v>22</v>
      </c>
    </row>
    <row r="21" spans="1:7" s="43" customFormat="1">
      <c r="A21" s="154" t="s">
        <v>25</v>
      </c>
      <c r="B21" s="64">
        <v>0.25</v>
      </c>
      <c r="C21" s="65"/>
      <c r="D21" s="65"/>
      <c r="E21" s="65"/>
      <c r="F21" s="65"/>
      <c r="G21" s="155"/>
    </row>
    <row r="22" spans="1:7" s="43" customFormat="1">
      <c r="A22" s="140" t="s">
        <v>26</v>
      </c>
      <c r="B22" s="56"/>
      <c r="C22" s="56"/>
      <c r="D22" s="123">
        <v>24255</v>
      </c>
      <c r="E22" s="72" t="s">
        <v>77</v>
      </c>
      <c r="F22" s="61">
        <f>D22/43560</f>
        <v>0.55681818181818177</v>
      </c>
      <c r="G22" s="153" t="s">
        <v>22</v>
      </c>
    </row>
    <row r="23" spans="1:7" s="43" customFormat="1">
      <c r="A23" s="154" t="s">
        <v>28</v>
      </c>
      <c r="B23" s="64">
        <v>0.15</v>
      </c>
      <c r="C23" s="65"/>
      <c r="D23" s="65"/>
      <c r="E23" s="65"/>
      <c r="F23" s="65"/>
      <c r="G23" s="155"/>
    </row>
    <row r="24" spans="1:7" s="43" customFormat="1">
      <c r="A24" s="140" t="s">
        <v>29</v>
      </c>
      <c r="B24" s="56"/>
      <c r="C24" s="56"/>
      <c r="D24" s="182">
        <f>D18+D20+D22</f>
        <v>24255</v>
      </c>
      <c r="E24" s="72" t="s">
        <v>77</v>
      </c>
      <c r="F24" s="61">
        <f>F18+F20+F22</f>
        <v>0.55681818181818177</v>
      </c>
      <c r="G24" s="153" t="s">
        <v>22</v>
      </c>
    </row>
    <row r="25" spans="1:7" s="43" customFormat="1" ht="14.25" customHeight="1">
      <c r="A25" s="154" t="s">
        <v>30</v>
      </c>
      <c r="B25" s="68">
        <f>(D18/D24*B19)+(D20/D24*B21)+(D22/D24*B23)</f>
        <v>0.15</v>
      </c>
      <c r="C25" s="69"/>
      <c r="D25" s="65"/>
      <c r="E25" s="70"/>
      <c r="F25" s="65"/>
      <c r="G25" s="155"/>
    </row>
    <row r="26" spans="1:7" s="43" customFormat="1">
      <c r="A26" s="156"/>
      <c r="B26" s="72"/>
      <c r="C26" s="56"/>
      <c r="D26" s="56"/>
      <c r="E26" s="56"/>
      <c r="F26" s="56"/>
      <c r="G26" s="143"/>
    </row>
    <row r="27" spans="1:7" s="43" customFormat="1">
      <c r="A27" s="140"/>
      <c r="B27" s="60"/>
      <c r="C27" s="72"/>
      <c r="D27" s="60"/>
      <c r="E27" s="72"/>
      <c r="F27" s="60"/>
      <c r="G27" s="153"/>
    </row>
    <row r="28" spans="1:7" s="43" customFormat="1">
      <c r="A28" s="140" t="s">
        <v>31</v>
      </c>
      <c r="B28" s="72"/>
      <c r="C28" s="72"/>
      <c r="D28" s="72"/>
      <c r="E28" s="72"/>
      <c r="F28" s="72"/>
      <c r="G28" s="153"/>
    </row>
    <row r="29" spans="1:7" s="43" customFormat="1">
      <c r="A29" s="140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157">
        <v>1</v>
      </c>
    </row>
    <row r="30" spans="1:7" s="43" customFormat="1">
      <c r="A30" s="144"/>
      <c r="B30" s="60" t="s">
        <v>30</v>
      </c>
      <c r="C30" s="76">
        <f>B25</f>
        <v>0.15</v>
      </c>
      <c r="D30" s="72" t="s">
        <v>36</v>
      </c>
      <c r="E30" s="56"/>
      <c r="F30" s="56"/>
      <c r="G30" s="143"/>
    </row>
    <row r="31" spans="1:7" s="43" customFormat="1">
      <c r="A31" s="144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143"/>
    </row>
    <row r="32" spans="1:7" s="43" customFormat="1" ht="12.75" customHeight="1">
      <c r="A32" s="140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143"/>
    </row>
    <row r="33" spans="1:17" s="43" customFormat="1" ht="25.5">
      <c r="A33" s="158" t="s">
        <v>42</v>
      </c>
      <c r="B33" s="60" t="s">
        <v>43</v>
      </c>
      <c r="C33" s="80">
        <f>'Intensity calcs'!K26</f>
        <v>5.99</v>
      </c>
      <c r="D33" s="72" t="s">
        <v>44</v>
      </c>
      <c r="E33" s="56"/>
      <c r="F33" s="56"/>
      <c r="G33" s="143"/>
    </row>
    <row r="34" spans="1:17" s="43" customFormat="1" ht="13.5" thickBot="1">
      <c r="A34" s="144"/>
      <c r="B34" s="56"/>
      <c r="C34" s="56"/>
      <c r="D34" s="56"/>
      <c r="E34" s="56"/>
      <c r="F34" s="56"/>
      <c r="G34" s="143"/>
    </row>
    <row r="35" spans="1:17" s="43" customFormat="1" ht="15" thickBot="1">
      <c r="A35" s="159" t="s">
        <v>125</v>
      </c>
      <c r="B35" s="82">
        <f>F24*B25*C33</f>
        <v>0.50030113636363627</v>
      </c>
      <c r="C35" s="83" t="s">
        <v>45</v>
      </c>
      <c r="D35" s="255"/>
      <c r="E35" s="256"/>
      <c r="F35" s="92"/>
      <c r="G35" s="161"/>
    </row>
    <row r="36" spans="1:17" s="43" customFormat="1" ht="13.5" thickTop="1">
      <c r="A36" s="249" t="s">
        <v>48</v>
      </c>
      <c r="B36" s="250"/>
      <c r="C36" s="250"/>
      <c r="D36" s="250"/>
      <c r="E36" s="250"/>
      <c r="F36" s="250"/>
      <c r="G36" s="251"/>
    </row>
    <row r="37" spans="1:17" s="43" customFormat="1" ht="13.5" thickBot="1">
      <c r="A37" s="252" t="s">
        <v>60</v>
      </c>
      <c r="B37" s="253"/>
      <c r="C37" s="253"/>
      <c r="D37" s="253"/>
      <c r="E37" s="253"/>
      <c r="F37" s="253"/>
      <c r="G37" s="254"/>
    </row>
    <row r="38" spans="1:17" s="43" customFormat="1" ht="15.6" customHeight="1" thickTop="1">
      <c r="A38" s="152" t="s">
        <v>126</v>
      </c>
      <c r="B38" s="56"/>
      <c r="C38" s="56"/>
      <c r="D38" s="56"/>
      <c r="E38" s="56"/>
      <c r="F38" s="56"/>
      <c r="G38" s="143"/>
    </row>
    <row r="39" spans="1:17" s="43" customFormat="1" ht="13.35" customHeight="1">
      <c r="A39" s="140" t="s">
        <v>20</v>
      </c>
      <c r="B39" s="56"/>
      <c r="C39" s="58"/>
      <c r="D39" s="123">
        <v>16808</v>
      </c>
      <c r="E39" s="72" t="s">
        <v>77</v>
      </c>
      <c r="F39" s="61">
        <f>D39/43560</f>
        <v>0.38585858585858585</v>
      </c>
      <c r="G39" s="153" t="s">
        <v>22</v>
      </c>
    </row>
    <row r="40" spans="1:17" s="43" customFormat="1" ht="12.75" customHeight="1">
      <c r="A40" s="154" t="s">
        <v>23</v>
      </c>
      <c r="B40" s="180">
        <v>0.9</v>
      </c>
      <c r="C40" s="65"/>
      <c r="D40" s="65"/>
      <c r="E40" s="65"/>
      <c r="F40" s="65"/>
      <c r="G40" s="155"/>
    </row>
    <row r="41" spans="1:17" s="43" customFormat="1" ht="12.75" customHeight="1">
      <c r="A41" s="140" t="s">
        <v>162</v>
      </c>
      <c r="B41" s="56"/>
      <c r="C41" s="56"/>
      <c r="D41" s="123">
        <v>4302</v>
      </c>
      <c r="E41" s="72" t="s">
        <v>77</v>
      </c>
      <c r="F41" s="61">
        <f>D41/43560</f>
        <v>9.8760330578512398E-2</v>
      </c>
      <c r="G41" s="153" t="s">
        <v>22</v>
      </c>
    </row>
    <row r="42" spans="1:17" s="43" customFormat="1" ht="12.75" customHeight="1">
      <c r="A42" s="154" t="s">
        <v>25</v>
      </c>
      <c r="B42" s="180">
        <v>0.3</v>
      </c>
      <c r="C42" s="65"/>
      <c r="D42" s="65"/>
      <c r="E42" s="65"/>
      <c r="F42" s="65"/>
      <c r="G42" s="155"/>
    </row>
    <row r="43" spans="1:17" s="43" customFormat="1">
      <c r="A43" s="140" t="s">
        <v>26</v>
      </c>
      <c r="B43" s="56"/>
      <c r="C43" s="56"/>
      <c r="D43" s="181">
        <v>3145</v>
      </c>
      <c r="E43" s="72" t="s">
        <v>77</v>
      </c>
      <c r="F43" s="61">
        <f>D43/43560</f>
        <v>7.2199265381083566E-2</v>
      </c>
      <c r="G43" s="153" t="s">
        <v>22</v>
      </c>
    </row>
    <row r="44" spans="1:17" s="43" customFormat="1">
      <c r="A44" s="154" t="s">
        <v>28</v>
      </c>
      <c r="B44" s="64">
        <v>0.15</v>
      </c>
      <c r="C44" s="65"/>
      <c r="D44" s="65"/>
      <c r="E44" s="65"/>
      <c r="F44" s="65"/>
      <c r="G44" s="155"/>
      <c r="H44" s="46"/>
      <c r="I44" s="46"/>
      <c r="J44" s="46"/>
    </row>
    <row r="45" spans="1:17" s="43" customFormat="1">
      <c r="A45" s="140" t="s">
        <v>29</v>
      </c>
      <c r="B45" s="56"/>
      <c r="C45" s="56"/>
      <c r="D45" s="182">
        <f>D39+D41+D43</f>
        <v>24255</v>
      </c>
      <c r="E45" s="72" t="s">
        <v>77</v>
      </c>
      <c r="F45" s="61">
        <f>F39+F41+F43</f>
        <v>0.55681818181818188</v>
      </c>
      <c r="G45" s="153" t="s">
        <v>22</v>
      </c>
      <c r="H45" s="56"/>
      <c r="I45" s="46"/>
      <c r="J45" s="46"/>
    </row>
    <row r="46" spans="1:17" s="43" customFormat="1">
      <c r="A46" s="154" t="s">
        <v>30</v>
      </c>
      <c r="B46" s="68">
        <f>(D39/D45*B40)+(D41/D45*B42)+(D43/D45*B44)</f>
        <v>0.6963327149041435</v>
      </c>
      <c r="C46" s="69"/>
      <c r="D46" s="65"/>
      <c r="E46" s="70"/>
      <c r="F46" s="65"/>
      <c r="G46" s="155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156"/>
      <c r="B47" s="72"/>
      <c r="C47" s="56"/>
      <c r="D47" s="56"/>
      <c r="E47" s="56"/>
      <c r="F47" s="56"/>
      <c r="G47" s="143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140"/>
      <c r="B48" s="60"/>
      <c r="C48" s="72"/>
      <c r="D48" s="60"/>
      <c r="E48" s="72"/>
      <c r="F48" s="60"/>
      <c r="G48" s="153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140" t="s">
        <v>31</v>
      </c>
      <c r="B49" s="72"/>
      <c r="C49" s="72"/>
      <c r="D49" s="72"/>
      <c r="E49" s="72"/>
      <c r="F49" s="72"/>
      <c r="G49" s="153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140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157">
        <v>1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144"/>
      <c r="B51" s="60" t="s">
        <v>30</v>
      </c>
      <c r="C51" s="76">
        <f>B46</f>
        <v>0.6963327149041435</v>
      </c>
      <c r="D51" s="72" t="s">
        <v>36</v>
      </c>
      <c r="E51" s="56"/>
      <c r="F51" s="56"/>
      <c r="G51" s="143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144"/>
      <c r="B52" s="60" t="s">
        <v>37</v>
      </c>
      <c r="C52" s="77">
        <f>G50/C50*100</f>
        <v>0.58823529411764708</v>
      </c>
      <c r="D52" s="72" t="s">
        <v>38</v>
      </c>
      <c r="E52" s="56"/>
      <c r="F52" s="56"/>
      <c r="G52" s="143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140" t="s">
        <v>39</v>
      </c>
      <c r="B53" s="60" t="s">
        <v>40</v>
      </c>
      <c r="C53" s="76">
        <f>(C50^0.8*(1000/B46-9)^0.7)/1140*(C52^0.5)</f>
        <v>6.6122134643726955</v>
      </c>
      <c r="D53" s="72" t="s">
        <v>41</v>
      </c>
      <c r="E53" s="78"/>
      <c r="F53" s="72"/>
      <c r="G53" s="143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158" t="s">
        <v>42</v>
      </c>
      <c r="B54" s="60" t="s">
        <v>43</v>
      </c>
      <c r="C54" s="80">
        <f>'Intensity calcs'!K33</f>
        <v>7.67</v>
      </c>
      <c r="D54" s="72" t="s">
        <v>44</v>
      </c>
      <c r="E54" s="56"/>
      <c r="F54" s="56"/>
      <c r="G54" s="143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>
      <c r="A55" s="144"/>
      <c r="B55" s="56"/>
      <c r="C55" s="56"/>
      <c r="D55" s="56"/>
      <c r="E55" s="56"/>
      <c r="F55" s="56"/>
      <c r="G55" s="143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>
      <c r="A56" s="159" t="s">
        <v>127</v>
      </c>
      <c r="B56" s="82">
        <f>F45*B46*C54</f>
        <v>2.9738945936639123</v>
      </c>
      <c r="C56" s="83" t="s">
        <v>45</v>
      </c>
      <c r="D56" s="84" t="s">
        <v>46</v>
      </c>
      <c r="E56" s="91"/>
      <c r="F56" s="92"/>
      <c r="G56" s="161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 ht="13.35" customHeight="1" thickTop="1" thickBot="1">
      <c r="A57" s="257" t="s">
        <v>166</v>
      </c>
      <c r="B57" s="258"/>
      <c r="C57" s="258"/>
      <c r="D57" s="258"/>
      <c r="E57" s="258"/>
      <c r="F57" s="258"/>
      <c r="G57" s="259"/>
      <c r="H57" s="56"/>
      <c r="I57" s="90"/>
      <c r="J57" s="90"/>
      <c r="K57" s="46"/>
      <c r="L57" s="46"/>
      <c r="M57" s="46"/>
      <c r="N57" s="46"/>
      <c r="O57" s="46"/>
      <c r="P57" s="46"/>
      <c r="Q57" s="46"/>
    </row>
    <row r="58" spans="1:17" s="43" customFormat="1" ht="13.35" customHeight="1" thickTop="1">
      <c r="A58" s="156" t="s">
        <v>169</v>
      </c>
      <c r="B58" s="185" t="s">
        <v>168</v>
      </c>
      <c r="C58" s="72" t="s">
        <v>170</v>
      </c>
      <c r="D58" s="241" t="s">
        <v>171</v>
      </c>
      <c r="E58" s="241"/>
      <c r="F58" s="184" t="s">
        <v>172</v>
      </c>
      <c r="G58" s="183"/>
      <c r="H58" s="56"/>
      <c r="I58" s="90"/>
      <c r="J58" s="90"/>
      <c r="K58" s="46"/>
      <c r="L58" s="46"/>
      <c r="M58" s="46"/>
      <c r="N58" s="46"/>
      <c r="O58" s="46"/>
      <c r="P58" s="46"/>
      <c r="Q58" s="46"/>
    </row>
    <row r="59" spans="1:17" s="43" customFormat="1" ht="13.35" customHeight="1">
      <c r="A59" s="156" t="s">
        <v>173</v>
      </c>
      <c r="B59" s="185" t="s">
        <v>167</v>
      </c>
      <c r="C59" s="72" t="s">
        <v>206</v>
      </c>
      <c r="D59" s="263" t="s">
        <v>183</v>
      </c>
      <c r="E59" s="263"/>
      <c r="F59" s="264" t="s">
        <v>177</v>
      </c>
      <c r="G59" s="265"/>
      <c r="H59" s="56"/>
      <c r="I59" s="90"/>
      <c r="J59" s="90"/>
      <c r="K59" s="46"/>
      <c r="L59" s="46"/>
      <c r="M59" s="46"/>
      <c r="N59" s="46"/>
      <c r="O59" s="46"/>
      <c r="P59" s="46"/>
      <c r="Q59" s="46"/>
    </row>
    <row r="60" spans="1:17" s="43" customFormat="1" ht="13.35" customHeight="1">
      <c r="A60" s="156" t="s">
        <v>174</v>
      </c>
      <c r="B60" s="185" t="s">
        <v>175</v>
      </c>
      <c r="C60" s="43" t="s">
        <v>176</v>
      </c>
      <c r="D60" s="263" t="s">
        <v>184</v>
      </c>
      <c r="E60" s="263"/>
      <c r="F60" s="264" t="s">
        <v>178</v>
      </c>
      <c r="G60" s="265"/>
      <c r="H60" s="56"/>
      <c r="I60" s="90"/>
      <c r="J60" s="90"/>
      <c r="K60" s="46"/>
      <c r="L60" s="46"/>
      <c r="M60" s="46"/>
      <c r="N60" s="46"/>
      <c r="O60" s="46"/>
      <c r="P60" s="46"/>
      <c r="Q60" s="46"/>
    </row>
    <row r="61" spans="1:17" s="43" customFormat="1" ht="13.35" customHeight="1" thickBot="1">
      <c r="A61" s="187"/>
      <c r="B61" s="188"/>
      <c r="C61" s="127" t="s">
        <v>179</v>
      </c>
      <c r="D61" s="266" t="s">
        <v>180</v>
      </c>
      <c r="E61" s="266"/>
      <c r="F61" s="267" t="s">
        <v>181</v>
      </c>
      <c r="G61" s="268"/>
      <c r="H61" s="56"/>
      <c r="I61" s="90"/>
      <c r="J61" s="90"/>
      <c r="K61" s="46"/>
      <c r="L61" s="46"/>
      <c r="M61" s="46"/>
      <c r="N61" s="46"/>
      <c r="O61" s="46"/>
      <c r="P61" s="46"/>
      <c r="Q61" s="46"/>
    </row>
    <row r="62" spans="1:17" s="43" customFormat="1" ht="13.35" customHeight="1" thickBot="1">
      <c r="A62" s="269" t="s">
        <v>141</v>
      </c>
      <c r="B62" s="270"/>
      <c r="C62" s="270"/>
      <c r="D62" s="270"/>
      <c r="E62" s="270"/>
      <c r="F62" s="270"/>
      <c r="G62" s="271"/>
      <c r="H62" s="56"/>
      <c r="I62" s="90"/>
      <c r="J62" s="90"/>
      <c r="K62" s="46"/>
      <c r="L62" s="46"/>
      <c r="M62" s="46"/>
      <c r="N62" s="46"/>
      <c r="O62" s="46"/>
      <c r="P62" s="46"/>
      <c r="Q62" s="46"/>
    </row>
    <row r="63" spans="1:17" s="43" customFormat="1" ht="13.35" customHeight="1" thickTop="1">
      <c r="A63" s="272" t="s">
        <v>182</v>
      </c>
      <c r="B63" s="273"/>
      <c r="C63" s="273"/>
      <c r="D63" s="273"/>
      <c r="E63" s="273"/>
      <c r="F63" s="273"/>
      <c r="G63" s="274"/>
      <c r="H63" s="56"/>
      <c r="I63" s="90"/>
      <c r="J63" s="90"/>
      <c r="K63" s="46"/>
      <c r="L63" s="46"/>
      <c r="M63" s="46"/>
      <c r="N63" s="46"/>
      <c r="O63" s="46"/>
      <c r="P63" s="46"/>
      <c r="Q63" s="46"/>
    </row>
    <row r="64" spans="1:17" s="43" customFormat="1">
      <c r="A64" s="275" t="s">
        <v>160</v>
      </c>
      <c r="B64" s="276"/>
      <c r="C64" s="276"/>
      <c r="D64" s="189">
        <f>(1.25/12)*D39</f>
        <v>1750.8333333333335</v>
      </c>
      <c r="E64" s="134" t="s">
        <v>161</v>
      </c>
      <c r="F64" s="176">
        <f>D64*7.48</f>
        <v>13096.233333333335</v>
      </c>
      <c r="G64" s="190" t="s">
        <v>149</v>
      </c>
    </row>
    <row r="65" spans="1:17" s="43" customFormat="1" ht="13.35" customHeight="1">
      <c r="A65" s="277" t="s">
        <v>189</v>
      </c>
      <c r="B65" s="278"/>
      <c r="C65" s="278"/>
      <c r="D65" s="278"/>
      <c r="E65" s="278"/>
      <c r="F65" s="279"/>
      <c r="G65" s="280"/>
      <c r="H65" s="56"/>
      <c r="I65" s="90"/>
      <c r="J65" s="90"/>
      <c r="K65" s="46"/>
      <c r="L65" s="46"/>
      <c r="M65" s="46"/>
      <c r="N65" s="46"/>
      <c r="O65" s="46"/>
      <c r="P65" s="46"/>
      <c r="Q65" s="46"/>
    </row>
    <row r="66" spans="1:17" s="43" customFormat="1" ht="13.35" customHeight="1">
      <c r="A66" s="260" t="s">
        <v>190</v>
      </c>
      <c r="B66" s="281"/>
      <c r="C66" s="281"/>
      <c r="D66" s="281"/>
      <c r="E66" s="281"/>
      <c r="F66" s="281"/>
      <c r="G66" s="282"/>
      <c r="H66" s="56"/>
      <c r="I66" s="90"/>
      <c r="J66" s="90"/>
      <c r="K66" s="46"/>
      <c r="L66" s="46"/>
      <c r="M66" s="46"/>
      <c r="N66" s="46"/>
      <c r="O66" s="46"/>
      <c r="P66" s="46"/>
      <c r="Q66" s="46"/>
    </row>
    <row r="67" spans="1:17" s="43" customFormat="1" ht="13.35" customHeight="1">
      <c r="A67" s="260" t="s">
        <v>185</v>
      </c>
      <c r="B67" s="261"/>
      <c r="C67" s="261"/>
      <c r="D67" s="261"/>
      <c r="E67" s="261"/>
      <c r="F67" s="261"/>
      <c r="G67" s="262"/>
      <c r="H67" s="56"/>
      <c r="I67" s="90"/>
      <c r="J67" s="90"/>
      <c r="K67" s="46"/>
      <c r="L67" s="46"/>
      <c r="M67" s="46"/>
      <c r="N67" s="46"/>
      <c r="O67" s="46"/>
      <c r="P67" s="46"/>
      <c r="Q67" s="46"/>
    </row>
    <row r="68" spans="1:17" s="43" customFormat="1" ht="13.35" customHeight="1" thickBot="1">
      <c r="A68" s="156" t="s">
        <v>186</v>
      </c>
      <c r="B68" s="283" t="s">
        <v>187</v>
      </c>
      <c r="C68" s="284"/>
      <c r="D68" s="284"/>
      <c r="E68" s="284"/>
      <c r="F68" s="284"/>
      <c r="G68" s="183"/>
      <c r="H68" s="56"/>
      <c r="I68" s="90"/>
      <c r="J68" s="90"/>
      <c r="K68" s="46"/>
      <c r="L68" s="46"/>
      <c r="M68" s="46"/>
      <c r="N68" s="46"/>
      <c r="O68" s="46"/>
      <c r="P68" s="46"/>
      <c r="Q68" s="46"/>
    </row>
    <row r="69" spans="1:17" s="43" customFormat="1" ht="14.25" thickTop="1" thickBot="1">
      <c r="A69" s="285" t="s">
        <v>141</v>
      </c>
      <c r="B69" s="286"/>
      <c r="C69" s="286"/>
      <c r="D69" s="286"/>
      <c r="E69" s="286"/>
      <c r="F69" s="286"/>
      <c r="G69" s="287"/>
      <c r="I69" s="46"/>
      <c r="J69" s="46"/>
      <c r="K69" s="46"/>
      <c r="L69" s="46"/>
      <c r="M69" s="46"/>
      <c r="N69" s="46"/>
      <c r="O69" s="46"/>
      <c r="P69" s="46"/>
      <c r="Q69" s="46"/>
    </row>
    <row r="70" spans="1:17" s="43" customFormat="1" ht="13.5" thickTop="1">
      <c r="A70" s="306" t="s">
        <v>188</v>
      </c>
      <c r="B70" s="307"/>
      <c r="C70" s="307"/>
      <c r="D70" s="191">
        <v>1173.7</v>
      </c>
      <c r="E70" s="72" t="s">
        <v>161</v>
      </c>
      <c r="F70" s="133">
        <f>D70*7.48</f>
        <v>8779.2760000000017</v>
      </c>
      <c r="G70" s="173" t="s">
        <v>149</v>
      </c>
    </row>
    <row r="71" spans="1:17" s="43" customFormat="1">
      <c r="A71" s="290" t="s">
        <v>191</v>
      </c>
      <c r="B71" s="305"/>
      <c r="D71" s="177" t="s">
        <v>55</v>
      </c>
      <c r="E71" s="178">
        <v>3.5</v>
      </c>
      <c r="F71" s="177" t="s">
        <v>56</v>
      </c>
      <c r="G71" s="179"/>
    </row>
    <row r="72" spans="1:17" s="43" customFormat="1">
      <c r="A72" s="144"/>
      <c r="B72" s="56"/>
      <c r="C72" s="56"/>
      <c r="D72" s="72" t="s">
        <v>57</v>
      </c>
      <c r="E72" s="59">
        <v>140</v>
      </c>
      <c r="F72" s="72" t="s">
        <v>56</v>
      </c>
      <c r="G72" s="143"/>
    </row>
    <row r="73" spans="1:17" s="43" customFormat="1" ht="13.5" thickBot="1">
      <c r="A73" s="192"/>
      <c r="B73" s="193"/>
      <c r="C73" s="193"/>
      <c r="D73" s="186" t="s">
        <v>58</v>
      </c>
      <c r="E73" s="194">
        <f>D70/E71/E72</f>
        <v>2.3953061224489796</v>
      </c>
      <c r="F73" s="195" t="s">
        <v>56</v>
      </c>
      <c r="G73" s="196"/>
    </row>
    <row r="74" spans="1:17" s="43" customFormat="1" ht="13.5" thickTop="1">
      <c r="A74" s="288" t="s">
        <v>160</v>
      </c>
      <c r="B74" s="289"/>
      <c r="C74" s="289"/>
      <c r="D74" s="191">
        <v>1173.7</v>
      </c>
      <c r="E74" s="72" t="s">
        <v>161</v>
      </c>
      <c r="F74" s="133">
        <f>D74*7.48</f>
        <v>8779.2760000000017</v>
      </c>
      <c r="G74" s="173" t="s">
        <v>149</v>
      </c>
    </row>
    <row r="75" spans="1:17" s="43" customFormat="1">
      <c r="A75" s="290" t="s">
        <v>192</v>
      </c>
      <c r="B75" s="289"/>
      <c r="C75" s="281"/>
      <c r="D75" s="281"/>
      <c r="E75" s="178">
        <v>11.4</v>
      </c>
      <c r="F75" s="263" t="s">
        <v>165</v>
      </c>
      <c r="G75" s="282"/>
    </row>
    <row r="76" spans="1:17" s="43" customFormat="1" ht="13.5" thickBot="1">
      <c r="A76" s="297" t="s">
        <v>164</v>
      </c>
      <c r="B76" s="298"/>
      <c r="C76" s="298"/>
      <c r="D76" s="298"/>
      <c r="E76" s="128">
        <f>D74/E75</f>
        <v>102.95614035087719</v>
      </c>
      <c r="F76" s="129"/>
      <c r="G76" s="146"/>
    </row>
    <row r="77" spans="1:17" s="43" customFormat="1" ht="13.5" thickBot="1">
      <c r="A77" s="299" t="s">
        <v>197</v>
      </c>
      <c r="B77" s="300"/>
      <c r="C77" s="300"/>
      <c r="D77" s="300"/>
      <c r="E77" s="300"/>
      <c r="F77" s="300"/>
      <c r="G77" s="301"/>
    </row>
    <row r="78" spans="1:17" s="43" customFormat="1" ht="44.25" customHeight="1" thickTop="1">
      <c r="A78" s="302" t="s">
        <v>193</v>
      </c>
      <c r="B78" s="302"/>
      <c r="C78" s="302"/>
      <c r="D78" s="302"/>
      <c r="E78" s="302"/>
      <c r="F78" s="302"/>
      <c r="G78" s="302"/>
    </row>
    <row r="79" spans="1:17" s="43" customFormat="1">
      <c r="A79" s="52" t="s">
        <v>62</v>
      </c>
      <c r="B79" s="237" t="s">
        <v>63</v>
      </c>
      <c r="C79" s="237"/>
      <c r="D79" s="237"/>
      <c r="E79" s="237"/>
      <c r="F79" s="237"/>
      <c r="G79" s="237"/>
    </row>
    <row r="80" spans="1:17" s="43" customFormat="1">
      <c r="A80" s="54" t="s">
        <v>194</v>
      </c>
      <c r="B80" s="105" t="s">
        <v>65</v>
      </c>
      <c r="C80" s="105"/>
      <c r="D80" s="105"/>
      <c r="E80" s="106"/>
      <c r="F80" s="106"/>
      <c r="G80" s="107"/>
    </row>
    <row r="81" spans="1:7" s="43" customFormat="1">
      <c r="A81" s="54" t="s">
        <v>195</v>
      </c>
      <c r="B81" s="242" t="s">
        <v>66</v>
      </c>
      <c r="C81" s="242"/>
      <c r="D81" s="242"/>
      <c r="E81" s="242"/>
      <c r="F81" s="242"/>
      <c r="G81" s="242"/>
    </row>
    <row r="82" spans="1:7" s="43" customFormat="1">
      <c r="A82" s="108" t="s">
        <v>67</v>
      </c>
      <c r="B82" s="106" t="s">
        <v>68</v>
      </c>
      <c r="C82" s="106"/>
      <c r="D82" s="106"/>
      <c r="E82" s="106"/>
      <c r="F82" s="106"/>
      <c r="G82" s="107"/>
    </row>
    <row r="83" spans="1:7" s="43" customFormat="1" ht="13.5" thickBot="1">
      <c r="A83" s="109" t="s">
        <v>69</v>
      </c>
      <c r="B83" s="110" t="s">
        <v>70</v>
      </c>
      <c r="C83" s="110"/>
      <c r="D83" s="110"/>
      <c r="E83" s="110"/>
      <c r="F83" s="110"/>
      <c r="G83" s="111"/>
    </row>
    <row r="84" spans="1:7" s="43" customFormat="1">
      <c r="A84" s="71" t="s">
        <v>196</v>
      </c>
      <c r="B84" s="61">
        <f>B35</f>
        <v>0.50030113636363627</v>
      </c>
      <c r="C84" s="72" t="s">
        <v>45</v>
      </c>
      <c r="D84" s="60" t="s">
        <v>73</v>
      </c>
      <c r="E84" s="197">
        <v>1</v>
      </c>
      <c r="F84" s="72" t="s">
        <v>74</v>
      </c>
      <c r="G84" s="57"/>
    </row>
    <row r="85" spans="1:7" s="43" customFormat="1">
      <c r="A85" s="71" t="s">
        <v>30</v>
      </c>
      <c r="B85" s="113">
        <v>0.62</v>
      </c>
      <c r="C85" s="72" t="s">
        <v>75</v>
      </c>
      <c r="D85" s="60" t="s">
        <v>76</v>
      </c>
      <c r="E85" s="114">
        <f>B84/(B85*(2*B86*E84)^0.5)</f>
        <v>0.10061593838467442</v>
      </c>
      <c r="F85" s="72" t="s">
        <v>77</v>
      </c>
      <c r="G85" s="57"/>
    </row>
    <row r="86" spans="1:7" s="43" customFormat="1">
      <c r="A86" s="71" t="s">
        <v>78</v>
      </c>
      <c r="B86" s="113">
        <v>32.159999999999997</v>
      </c>
      <c r="C86" s="72" t="s">
        <v>79</v>
      </c>
      <c r="D86" s="46"/>
      <c r="E86" s="46"/>
      <c r="F86" s="56"/>
      <c r="G86" s="57"/>
    </row>
    <row r="87" spans="1:7" s="43" customFormat="1" ht="13.5" thickBot="1">
      <c r="A87" s="75"/>
      <c r="B87" s="56"/>
      <c r="C87" s="56"/>
      <c r="D87" s="56"/>
      <c r="E87" s="56"/>
      <c r="F87" s="56"/>
      <c r="G87" s="57"/>
    </row>
    <row r="88" spans="1:7" s="43" customFormat="1" ht="13.5" thickBot="1">
      <c r="B88" s="303" t="s">
        <v>198</v>
      </c>
      <c r="C88" s="304"/>
      <c r="D88" s="198">
        <f>((E85/PI())^0.5)*2*12</f>
        <v>4.2950645615413725</v>
      </c>
      <c r="E88" s="118" t="s">
        <v>81</v>
      </c>
      <c r="F88" s="116"/>
      <c r="G88" s="119"/>
    </row>
    <row r="89" spans="1:7" s="43" customFormat="1" ht="13.5" thickTop="1">
      <c r="A89" s="120" t="s">
        <v>82</v>
      </c>
      <c r="B89" s="56"/>
      <c r="C89" s="56"/>
      <c r="D89" s="125"/>
      <c r="E89" s="124"/>
      <c r="F89" s="56"/>
      <c r="G89" s="56"/>
    </row>
    <row r="90" spans="1:7" s="43" customFormat="1" ht="13.35" customHeight="1">
      <c r="A90" s="291" t="s">
        <v>129</v>
      </c>
      <c r="B90" s="292"/>
      <c r="C90" s="292"/>
      <c r="D90" s="292"/>
      <c r="E90" s="292"/>
      <c r="F90" s="292"/>
      <c r="G90" s="293"/>
    </row>
    <row r="91" spans="1:7" s="43" customFormat="1" ht="13.35" customHeight="1">
      <c r="A91" s="291" t="s">
        <v>130</v>
      </c>
      <c r="B91" s="292"/>
      <c r="C91" s="292"/>
      <c r="D91" s="292"/>
      <c r="E91" s="292"/>
      <c r="F91" s="292"/>
      <c r="G91" s="293"/>
    </row>
    <row r="92" spans="1:7" s="43" customFormat="1">
      <c r="A92" s="172" t="s">
        <v>131</v>
      </c>
      <c r="B92" s="46"/>
      <c r="C92" s="46"/>
      <c r="D92" s="46"/>
      <c r="E92" s="46"/>
      <c r="F92" s="46"/>
      <c r="G92" s="173"/>
    </row>
    <row r="93" spans="1:7" s="43" customFormat="1" ht="13.35" customHeight="1">
      <c r="A93" s="291" t="s">
        <v>132</v>
      </c>
      <c r="B93" s="292"/>
      <c r="C93" s="292"/>
      <c r="D93" s="292"/>
      <c r="E93" s="292"/>
      <c r="F93" s="292"/>
      <c r="G93" s="293"/>
    </row>
    <row r="94" spans="1:7" s="43" customFormat="1" ht="13.35" customHeight="1" thickBot="1">
      <c r="A94" s="294" t="s">
        <v>133</v>
      </c>
      <c r="B94" s="295"/>
      <c r="C94" s="295"/>
      <c r="D94" s="295"/>
      <c r="E94" s="295"/>
      <c r="F94" s="295"/>
      <c r="G94" s="296"/>
    </row>
  </sheetData>
  <mergeCells count="47">
    <mergeCell ref="B88:C88"/>
    <mergeCell ref="A63:G63"/>
    <mergeCell ref="A64:C64"/>
    <mergeCell ref="A65:G65"/>
    <mergeCell ref="A66:G66"/>
    <mergeCell ref="A67:G67"/>
    <mergeCell ref="B68:F68"/>
    <mergeCell ref="A77:G77"/>
    <mergeCell ref="A78:G78"/>
    <mergeCell ref="B79:G79"/>
    <mergeCell ref="B81:G81"/>
    <mergeCell ref="A91:G91"/>
    <mergeCell ref="A93:G93"/>
    <mergeCell ref="A94:G94"/>
    <mergeCell ref="A57:G57"/>
    <mergeCell ref="D58:E58"/>
    <mergeCell ref="D59:E59"/>
    <mergeCell ref="D61:E61"/>
    <mergeCell ref="F59:G59"/>
    <mergeCell ref="F61:G61"/>
    <mergeCell ref="A71:B71"/>
    <mergeCell ref="A74:C74"/>
    <mergeCell ref="A75:D75"/>
    <mergeCell ref="F75:G75"/>
    <mergeCell ref="A76:D76"/>
    <mergeCell ref="A90:G90"/>
    <mergeCell ref="A70:C70"/>
    <mergeCell ref="A16:G16"/>
    <mergeCell ref="D35:E35"/>
    <mergeCell ref="A36:G36"/>
    <mergeCell ref="A37:G37"/>
    <mergeCell ref="A69:G69"/>
    <mergeCell ref="D60:E60"/>
    <mergeCell ref="F60:G60"/>
    <mergeCell ref="A62:G62"/>
    <mergeCell ref="A15:G15"/>
    <mergeCell ref="B1:G1"/>
    <mergeCell ref="A2:G2"/>
    <mergeCell ref="A4:G4"/>
    <mergeCell ref="B5:G6"/>
    <mergeCell ref="B7:G7"/>
    <mergeCell ref="B8:G8"/>
    <mergeCell ref="B9:G9"/>
    <mergeCell ref="A10:G10"/>
    <mergeCell ref="B11:G12"/>
    <mergeCell ref="B13:G13"/>
    <mergeCell ref="B14:G14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3" scale="82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3"/>
  <sheetViews>
    <sheetView topLeftCell="A37" workbookViewId="0">
      <selection activeCell="F66" sqref="F66"/>
    </sheetView>
  </sheetViews>
  <sheetFormatPr defaultRowHeight="12.75"/>
  <cols>
    <col min="1" max="1" width="19.7109375" customWidth="1"/>
    <col min="2" max="2" width="22.140625" customWidth="1"/>
    <col min="3" max="3" width="11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147" t="s">
        <v>0</v>
      </c>
      <c r="B1" s="229" t="s">
        <v>158</v>
      </c>
      <c r="C1" s="229"/>
      <c r="D1" s="229"/>
      <c r="E1" s="229"/>
      <c r="F1" s="229"/>
      <c r="G1" s="230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>
      <c r="A2" s="231" t="s">
        <v>1</v>
      </c>
      <c r="B2" s="232"/>
      <c r="C2" s="232"/>
      <c r="D2" s="232"/>
      <c r="E2" s="232"/>
      <c r="F2" s="232"/>
      <c r="G2" s="233"/>
    </row>
    <row r="3" spans="1:17" s="43" customFormat="1" ht="13.5" thickTop="1">
      <c r="A3" s="148" t="s">
        <v>2</v>
      </c>
      <c r="B3" s="49"/>
      <c r="C3" s="49"/>
      <c r="D3" s="49"/>
      <c r="E3" s="50"/>
      <c r="F3" s="50"/>
      <c r="G3" s="149"/>
    </row>
    <row r="4" spans="1:17" s="43" customFormat="1" ht="20.25" customHeight="1">
      <c r="A4" s="234" t="s">
        <v>3</v>
      </c>
      <c r="B4" s="235"/>
      <c r="C4" s="235"/>
      <c r="D4" s="235"/>
      <c r="E4" s="235"/>
      <c r="F4" s="235"/>
      <c r="G4" s="236"/>
    </row>
    <row r="5" spans="1:17" s="43" customFormat="1" ht="12.75" customHeight="1">
      <c r="A5" s="140" t="s">
        <v>4</v>
      </c>
      <c r="B5" s="237" t="s">
        <v>5</v>
      </c>
      <c r="C5" s="237"/>
      <c r="D5" s="237"/>
      <c r="E5" s="237"/>
      <c r="F5" s="237"/>
      <c r="G5" s="238"/>
    </row>
    <row r="6" spans="1:17" s="43" customFormat="1">
      <c r="A6" s="150"/>
      <c r="B6" s="237"/>
      <c r="C6" s="237"/>
      <c r="D6" s="237"/>
      <c r="E6" s="237"/>
      <c r="F6" s="237"/>
      <c r="G6" s="238"/>
    </row>
    <row r="7" spans="1:17" s="43" customFormat="1">
      <c r="A7" s="151" t="s">
        <v>6</v>
      </c>
      <c r="B7" s="239" t="s">
        <v>7</v>
      </c>
      <c r="C7" s="239"/>
      <c r="D7" s="239"/>
      <c r="E7" s="239"/>
      <c r="F7" s="239"/>
      <c r="G7" s="240"/>
    </row>
    <row r="8" spans="1:17" s="43" customFormat="1">
      <c r="A8" s="151" t="s">
        <v>8</v>
      </c>
      <c r="B8" s="227" t="s">
        <v>9</v>
      </c>
      <c r="C8" s="227"/>
      <c r="D8" s="227"/>
      <c r="E8" s="227"/>
      <c r="F8" s="227"/>
      <c r="G8" s="228"/>
    </row>
    <row r="9" spans="1:17" s="43" customFormat="1" ht="12.75" customHeight="1">
      <c r="A9" s="151" t="s">
        <v>10</v>
      </c>
      <c r="B9" s="242" t="s">
        <v>11</v>
      </c>
      <c r="C9" s="242"/>
      <c r="D9" s="242"/>
      <c r="E9" s="242"/>
      <c r="F9" s="242"/>
      <c r="G9" s="243"/>
      <c r="I9" s="43" t="s">
        <v>46</v>
      </c>
    </row>
    <row r="10" spans="1:17" s="43" customFormat="1" ht="44.85" customHeight="1">
      <c r="A10" s="244" t="s">
        <v>152</v>
      </c>
      <c r="B10" s="245"/>
      <c r="C10" s="245"/>
      <c r="D10" s="245"/>
      <c r="E10" s="245"/>
      <c r="F10" s="245"/>
      <c r="G10" s="246"/>
    </row>
    <row r="11" spans="1:17" s="43" customFormat="1" ht="12.75" customHeight="1">
      <c r="A11" s="140" t="s">
        <v>13</v>
      </c>
      <c r="B11" s="237" t="s">
        <v>14</v>
      </c>
      <c r="C11" s="237"/>
      <c r="D11" s="237"/>
      <c r="E11" s="237"/>
      <c r="F11" s="237"/>
      <c r="G11" s="238"/>
    </row>
    <row r="12" spans="1:17" s="43" customFormat="1" ht="12.75" customHeight="1">
      <c r="A12" s="150"/>
      <c r="B12" s="237"/>
      <c r="C12" s="237"/>
      <c r="D12" s="237"/>
      <c r="E12" s="237"/>
      <c r="F12" s="237"/>
      <c r="G12" s="238"/>
    </row>
    <row r="13" spans="1:17" s="43" customFormat="1" ht="12.75" customHeight="1">
      <c r="A13" s="151" t="s">
        <v>8</v>
      </c>
      <c r="B13" s="227" t="s">
        <v>15</v>
      </c>
      <c r="C13" s="227"/>
      <c r="D13" s="227"/>
      <c r="E13" s="227"/>
      <c r="F13" s="227"/>
      <c r="G13" s="228"/>
    </row>
    <row r="14" spans="1:17" s="43" customFormat="1" ht="12.75" customHeight="1" thickBot="1">
      <c r="A14" s="151" t="s">
        <v>16</v>
      </c>
      <c r="B14" s="247" t="s">
        <v>17</v>
      </c>
      <c r="C14" s="247"/>
      <c r="D14" s="247"/>
      <c r="E14" s="247"/>
      <c r="F14" s="247"/>
      <c r="G14" s="248"/>
    </row>
    <row r="15" spans="1:17" s="43" customFormat="1">
      <c r="A15" s="249" t="s">
        <v>153</v>
      </c>
      <c r="B15" s="250"/>
      <c r="C15" s="250"/>
      <c r="D15" s="250"/>
      <c r="E15" s="250"/>
      <c r="F15" s="250"/>
      <c r="G15" s="251"/>
    </row>
    <row r="16" spans="1:17" s="43" customFormat="1" ht="13.5" thickBot="1">
      <c r="A16" s="252" t="s">
        <v>135</v>
      </c>
      <c r="B16" s="253"/>
      <c r="C16" s="253"/>
      <c r="D16" s="253"/>
      <c r="E16" s="253"/>
      <c r="F16" s="253"/>
      <c r="G16" s="254"/>
    </row>
    <row r="17" spans="1:7" s="43" customFormat="1" ht="15" thickTop="1">
      <c r="A17" s="152" t="s">
        <v>124</v>
      </c>
      <c r="B17" s="56"/>
      <c r="C17" s="56"/>
      <c r="D17" s="56"/>
      <c r="E17" s="56"/>
      <c r="F17" s="56"/>
      <c r="G17" s="143"/>
    </row>
    <row r="18" spans="1:7" s="43" customFormat="1">
      <c r="A18" s="140" t="s">
        <v>20</v>
      </c>
      <c r="B18" s="56"/>
      <c r="C18" s="58"/>
      <c r="D18" s="59">
        <v>0</v>
      </c>
      <c r="E18" s="72" t="s">
        <v>77</v>
      </c>
      <c r="F18" s="61">
        <f>D18/43560</f>
        <v>0</v>
      </c>
      <c r="G18" s="153" t="s">
        <v>22</v>
      </c>
    </row>
    <row r="19" spans="1:7" s="43" customFormat="1">
      <c r="A19" s="154" t="s">
        <v>23</v>
      </c>
      <c r="B19" s="64">
        <v>0.9</v>
      </c>
      <c r="C19" s="65"/>
      <c r="D19" s="65"/>
      <c r="E19" s="65"/>
      <c r="F19" s="65"/>
      <c r="G19" s="155"/>
    </row>
    <row r="20" spans="1:7" s="43" customFormat="1">
      <c r="A20" s="140" t="s">
        <v>162</v>
      </c>
      <c r="B20" s="56"/>
      <c r="C20" s="56"/>
      <c r="D20" s="59">
        <v>0</v>
      </c>
      <c r="E20" s="72" t="s">
        <v>77</v>
      </c>
      <c r="F20" s="61">
        <f>D20/43560</f>
        <v>0</v>
      </c>
      <c r="G20" s="153" t="s">
        <v>22</v>
      </c>
    </row>
    <row r="21" spans="1:7" s="43" customFormat="1">
      <c r="A21" s="154" t="s">
        <v>25</v>
      </c>
      <c r="B21" s="64">
        <v>0.25</v>
      </c>
      <c r="C21" s="65"/>
      <c r="D21" s="65"/>
      <c r="E21" s="65"/>
      <c r="F21" s="65"/>
      <c r="G21" s="155"/>
    </row>
    <row r="22" spans="1:7" s="43" customFormat="1">
      <c r="A22" s="140" t="s">
        <v>26</v>
      </c>
      <c r="B22" s="56"/>
      <c r="C22" s="56"/>
      <c r="D22" s="123">
        <v>24255</v>
      </c>
      <c r="E22" s="72" t="s">
        <v>77</v>
      </c>
      <c r="F22" s="61">
        <f>D22/43560</f>
        <v>0.55681818181818177</v>
      </c>
      <c r="G22" s="153" t="s">
        <v>22</v>
      </c>
    </row>
    <row r="23" spans="1:7" s="43" customFormat="1">
      <c r="A23" s="154" t="s">
        <v>28</v>
      </c>
      <c r="B23" s="64">
        <v>0.15</v>
      </c>
      <c r="C23" s="65"/>
      <c r="D23" s="65"/>
      <c r="E23" s="65"/>
      <c r="F23" s="65"/>
      <c r="G23" s="155"/>
    </row>
    <row r="24" spans="1:7" s="43" customFormat="1">
      <c r="A24" s="140" t="s">
        <v>29</v>
      </c>
      <c r="B24" s="56"/>
      <c r="C24" s="56"/>
      <c r="D24" s="182">
        <f>D18+D20+D22</f>
        <v>24255</v>
      </c>
      <c r="E24" s="72" t="s">
        <v>77</v>
      </c>
      <c r="F24" s="61">
        <f>F18+F20+F22</f>
        <v>0.55681818181818177</v>
      </c>
      <c r="G24" s="153" t="s">
        <v>22</v>
      </c>
    </row>
    <row r="25" spans="1:7" s="43" customFormat="1" ht="14.25" customHeight="1">
      <c r="A25" s="154" t="s">
        <v>30</v>
      </c>
      <c r="B25" s="68">
        <f>(D18/D24*B19)+(D20/D24*B21)+(D22/D24*B23)</f>
        <v>0.15</v>
      </c>
      <c r="C25" s="69"/>
      <c r="D25" s="65"/>
      <c r="E25" s="70"/>
      <c r="F25" s="65"/>
      <c r="G25" s="155"/>
    </row>
    <row r="26" spans="1:7" s="43" customFormat="1">
      <c r="A26" s="156"/>
      <c r="B26" s="72"/>
      <c r="C26" s="56"/>
      <c r="D26" s="56"/>
      <c r="E26" s="56"/>
      <c r="F26" s="56"/>
      <c r="G26" s="143"/>
    </row>
    <row r="27" spans="1:7" s="43" customFormat="1">
      <c r="A27" s="140"/>
      <c r="B27" s="60"/>
      <c r="C27" s="72"/>
      <c r="D27" s="60"/>
      <c r="E27" s="72"/>
      <c r="F27" s="60"/>
      <c r="G27" s="153"/>
    </row>
    <row r="28" spans="1:7" s="43" customFormat="1">
      <c r="A28" s="140" t="s">
        <v>31</v>
      </c>
      <c r="B28" s="72"/>
      <c r="C28" s="72"/>
      <c r="D28" s="72"/>
      <c r="E28" s="72"/>
      <c r="F28" s="72"/>
      <c r="G28" s="153"/>
    </row>
    <row r="29" spans="1:7" s="43" customFormat="1">
      <c r="A29" s="140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157">
        <v>1</v>
      </c>
    </row>
    <row r="30" spans="1:7" s="43" customFormat="1">
      <c r="A30" s="144"/>
      <c r="B30" s="60" t="s">
        <v>30</v>
      </c>
      <c r="C30" s="76">
        <f>B25</f>
        <v>0.15</v>
      </c>
      <c r="D30" s="72" t="s">
        <v>36</v>
      </c>
      <c r="E30" s="56"/>
      <c r="F30" s="56"/>
      <c r="G30" s="143"/>
    </row>
    <row r="31" spans="1:7" s="43" customFormat="1">
      <c r="A31" s="144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143"/>
    </row>
    <row r="32" spans="1:7" s="43" customFormat="1" ht="12.75" customHeight="1">
      <c r="A32" s="140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143"/>
    </row>
    <row r="33" spans="1:17" s="43" customFormat="1" ht="25.5">
      <c r="A33" s="158" t="s">
        <v>42</v>
      </c>
      <c r="B33" s="60" t="s">
        <v>43</v>
      </c>
      <c r="C33" s="80">
        <f>3.14</f>
        <v>3.14</v>
      </c>
      <c r="D33" s="72" t="s">
        <v>44</v>
      </c>
      <c r="E33" s="56"/>
      <c r="F33" s="56"/>
      <c r="G33" s="143"/>
    </row>
    <row r="34" spans="1:17" s="43" customFormat="1" ht="13.5" thickBot="1">
      <c r="A34" s="144"/>
      <c r="B34" s="56"/>
      <c r="C34" s="56"/>
      <c r="D34" s="56"/>
      <c r="E34" s="56"/>
      <c r="F34" s="56"/>
      <c r="G34" s="143"/>
    </row>
    <row r="35" spans="1:17" s="43" customFormat="1" ht="15" thickBot="1">
      <c r="A35" s="159" t="s">
        <v>125</v>
      </c>
      <c r="B35" s="82">
        <f>F24*B25*C33</f>
        <v>0.2622613636363636</v>
      </c>
      <c r="C35" s="83" t="s">
        <v>45</v>
      </c>
      <c r="D35" s="255"/>
      <c r="E35" s="256"/>
      <c r="F35" s="92"/>
      <c r="G35" s="161"/>
    </row>
    <row r="36" spans="1:17" s="43" customFormat="1" ht="13.5" thickTop="1">
      <c r="A36" s="249" t="s">
        <v>48</v>
      </c>
      <c r="B36" s="250"/>
      <c r="C36" s="250"/>
      <c r="D36" s="250"/>
      <c r="E36" s="250"/>
      <c r="F36" s="250"/>
      <c r="G36" s="251"/>
    </row>
    <row r="37" spans="1:17" s="43" customFormat="1" ht="13.5" thickBot="1">
      <c r="A37" s="252" t="s">
        <v>60</v>
      </c>
      <c r="B37" s="253"/>
      <c r="C37" s="253"/>
      <c r="D37" s="253"/>
      <c r="E37" s="253"/>
      <c r="F37" s="253"/>
      <c r="G37" s="254"/>
    </row>
    <row r="38" spans="1:17" s="43" customFormat="1" ht="15.6" customHeight="1" thickTop="1">
      <c r="A38" s="152" t="s">
        <v>126</v>
      </c>
      <c r="B38" s="56"/>
      <c r="C38" s="56"/>
      <c r="D38" s="56"/>
      <c r="E38" s="56"/>
      <c r="F38" s="56"/>
      <c r="G38" s="143"/>
    </row>
    <row r="39" spans="1:17" s="43" customFormat="1" ht="13.35" customHeight="1">
      <c r="A39" s="140" t="s">
        <v>20</v>
      </c>
      <c r="B39" s="56"/>
      <c r="C39" s="58"/>
      <c r="D39" s="123">
        <v>16808</v>
      </c>
      <c r="E39" s="72" t="s">
        <v>77</v>
      </c>
      <c r="F39" s="61">
        <f>D39/43560</f>
        <v>0.38585858585858585</v>
      </c>
      <c r="G39" s="153" t="s">
        <v>22</v>
      </c>
    </row>
    <row r="40" spans="1:17" s="43" customFormat="1" ht="12.75" customHeight="1">
      <c r="A40" s="154" t="s">
        <v>23</v>
      </c>
      <c r="B40" s="180">
        <v>0.9</v>
      </c>
      <c r="C40" s="65"/>
      <c r="D40" s="65"/>
      <c r="E40" s="65"/>
      <c r="F40" s="65"/>
      <c r="G40" s="155"/>
    </row>
    <row r="41" spans="1:17" s="43" customFormat="1" ht="12.75" customHeight="1">
      <c r="A41" s="140" t="s">
        <v>162</v>
      </c>
      <c r="B41" s="56"/>
      <c r="C41" s="56"/>
      <c r="D41" s="123">
        <v>4302</v>
      </c>
      <c r="E41" s="72" t="s">
        <v>77</v>
      </c>
      <c r="F41" s="61">
        <f>D41/43560</f>
        <v>9.8760330578512398E-2</v>
      </c>
      <c r="G41" s="153" t="s">
        <v>22</v>
      </c>
    </row>
    <row r="42" spans="1:17" s="43" customFormat="1" ht="12.75" customHeight="1">
      <c r="A42" s="154" t="s">
        <v>25</v>
      </c>
      <c r="B42" s="180">
        <v>0.3</v>
      </c>
      <c r="C42" s="65"/>
      <c r="D42" s="65"/>
      <c r="E42" s="65"/>
      <c r="F42" s="65"/>
      <c r="G42" s="155"/>
    </row>
    <row r="43" spans="1:17" s="43" customFormat="1">
      <c r="A43" s="140" t="s">
        <v>26</v>
      </c>
      <c r="B43" s="56"/>
      <c r="C43" s="56"/>
      <c r="D43" s="181">
        <v>3145</v>
      </c>
      <c r="E43" s="72" t="s">
        <v>77</v>
      </c>
      <c r="F43" s="61">
        <f>D43/43560</f>
        <v>7.2199265381083566E-2</v>
      </c>
      <c r="G43" s="153" t="s">
        <v>22</v>
      </c>
    </row>
    <row r="44" spans="1:17" s="43" customFormat="1">
      <c r="A44" s="154" t="s">
        <v>28</v>
      </c>
      <c r="B44" s="64">
        <v>0.15</v>
      </c>
      <c r="C44" s="65"/>
      <c r="D44" s="65"/>
      <c r="E44" s="65"/>
      <c r="F44" s="65"/>
      <c r="G44" s="155"/>
      <c r="H44" s="46"/>
      <c r="I44" s="46"/>
      <c r="J44" s="46"/>
    </row>
    <row r="45" spans="1:17" s="43" customFormat="1">
      <c r="A45" s="140" t="s">
        <v>29</v>
      </c>
      <c r="B45" s="56"/>
      <c r="C45" s="56"/>
      <c r="D45" s="182">
        <f>D39+D41+D43</f>
        <v>24255</v>
      </c>
      <c r="E45" s="72" t="s">
        <v>77</v>
      </c>
      <c r="F45" s="61">
        <f>F39+F41+F43</f>
        <v>0.55681818181818188</v>
      </c>
      <c r="G45" s="153" t="s">
        <v>22</v>
      </c>
      <c r="H45" s="56"/>
      <c r="I45" s="46"/>
      <c r="J45" s="46"/>
    </row>
    <row r="46" spans="1:17" s="43" customFormat="1">
      <c r="A46" s="154" t="s">
        <v>30</v>
      </c>
      <c r="B46" s="68">
        <f>(D39/D45*B40)+(D41/D45*B42)+(D43/D45*B44)</f>
        <v>0.6963327149041435</v>
      </c>
      <c r="C46" s="69"/>
      <c r="D46" s="65"/>
      <c r="E46" s="70"/>
      <c r="F46" s="65"/>
      <c r="G46" s="155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156"/>
      <c r="B47" s="72"/>
      <c r="C47" s="56"/>
      <c r="D47" s="56"/>
      <c r="E47" s="56"/>
      <c r="F47" s="56"/>
      <c r="G47" s="143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140"/>
      <c r="B48" s="60"/>
      <c r="C48" s="72"/>
      <c r="D48" s="60"/>
      <c r="E48" s="72"/>
      <c r="F48" s="60"/>
      <c r="G48" s="153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140" t="s">
        <v>31</v>
      </c>
      <c r="B49" s="72"/>
      <c r="C49" s="72"/>
      <c r="D49" s="72"/>
      <c r="E49" s="72"/>
      <c r="F49" s="72"/>
      <c r="G49" s="153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140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157">
        <v>1.2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144"/>
      <c r="B51" s="60" t="s">
        <v>30</v>
      </c>
      <c r="C51" s="76">
        <f>B46</f>
        <v>0.6963327149041435</v>
      </c>
      <c r="D51" s="72" t="s">
        <v>36</v>
      </c>
      <c r="E51" s="56"/>
      <c r="F51" s="56"/>
      <c r="G51" s="143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144"/>
      <c r="B52" s="60" t="s">
        <v>37</v>
      </c>
      <c r="C52" s="77">
        <f>G50/C50*100</f>
        <v>0.70588235294117641</v>
      </c>
      <c r="D52" s="72" t="s">
        <v>38</v>
      </c>
      <c r="E52" s="56"/>
      <c r="F52" s="56"/>
      <c r="G52" s="143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140" t="s">
        <v>39</v>
      </c>
      <c r="B53" s="60" t="s">
        <v>40</v>
      </c>
      <c r="C53" s="76">
        <f>(C50^0.8*(1000/B46-9)^0.7)/1140*(C52^0.5)</f>
        <v>7.2433169389526153</v>
      </c>
      <c r="D53" s="72" t="s">
        <v>41</v>
      </c>
      <c r="E53" s="78"/>
      <c r="F53" s="72"/>
      <c r="G53" s="143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158" t="s">
        <v>42</v>
      </c>
      <c r="B54" s="60" t="s">
        <v>43</v>
      </c>
      <c r="C54" s="80">
        <f>3.14</f>
        <v>3.14</v>
      </c>
      <c r="D54" s="72" t="s">
        <v>44</v>
      </c>
      <c r="E54" s="56"/>
      <c r="F54" s="56"/>
      <c r="G54" s="143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>
      <c r="A55" s="144"/>
      <c r="B55" s="56"/>
      <c r="C55" s="56"/>
      <c r="D55" s="56"/>
      <c r="E55" s="56"/>
      <c r="F55" s="56"/>
      <c r="G55" s="143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>
      <c r="A56" s="159" t="s">
        <v>127</v>
      </c>
      <c r="B56" s="82">
        <f>F45*B46*C54</f>
        <v>1.2174744490358129</v>
      </c>
      <c r="C56" s="83" t="s">
        <v>45</v>
      </c>
      <c r="D56" s="84" t="s">
        <v>46</v>
      </c>
      <c r="E56" s="91"/>
      <c r="F56" s="92"/>
      <c r="G56" s="161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 ht="14.25" thickTop="1" thickBot="1">
      <c r="A57" s="285" t="s">
        <v>141</v>
      </c>
      <c r="B57" s="286"/>
      <c r="C57" s="286"/>
      <c r="D57" s="286"/>
      <c r="E57" s="286"/>
      <c r="F57" s="286"/>
      <c r="G57" s="287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3.5" thickTop="1">
      <c r="A58" s="162" t="s">
        <v>159</v>
      </c>
      <c r="B58" s="56"/>
      <c r="C58" s="95">
        <f>1.25</f>
        <v>1.25</v>
      </c>
      <c r="D58" s="72" t="s">
        <v>137</v>
      </c>
      <c r="E58" s="46"/>
      <c r="F58" s="56"/>
      <c r="G58" s="143"/>
    </row>
    <row r="59" spans="1:17" s="43" customFormat="1">
      <c r="A59" s="275" t="s">
        <v>160</v>
      </c>
      <c r="B59" s="276"/>
      <c r="C59" s="276"/>
      <c r="D59" s="97">
        <f>(1.25/12)*D39</f>
        <v>1750.8333333333335</v>
      </c>
      <c r="E59" s="72" t="s">
        <v>161</v>
      </c>
      <c r="F59" s="133">
        <f>D59*7.48</f>
        <v>13096.233333333335</v>
      </c>
      <c r="G59" s="173" t="s">
        <v>149</v>
      </c>
    </row>
    <row r="60" spans="1:17" s="43" customFormat="1">
      <c r="A60" s="290" t="s">
        <v>151</v>
      </c>
      <c r="B60" s="305"/>
      <c r="D60" s="177" t="s">
        <v>55</v>
      </c>
      <c r="E60" s="178">
        <v>3.5</v>
      </c>
      <c r="F60" s="177" t="s">
        <v>56</v>
      </c>
      <c r="G60" s="179"/>
    </row>
    <row r="61" spans="1:17" s="43" customFormat="1">
      <c r="A61" s="144"/>
      <c r="B61" s="56"/>
      <c r="C61" s="56"/>
      <c r="D61" s="72" t="s">
        <v>57</v>
      </c>
      <c r="E61" s="59">
        <v>140</v>
      </c>
      <c r="F61" s="72" t="s">
        <v>56</v>
      </c>
      <c r="G61" s="143"/>
    </row>
    <row r="62" spans="1:17" s="43" customFormat="1">
      <c r="A62" s="144"/>
      <c r="B62" s="56"/>
      <c r="C62" s="56"/>
      <c r="D62" s="72"/>
      <c r="E62" s="59"/>
      <c r="F62" s="72"/>
      <c r="G62" s="143"/>
    </row>
    <row r="63" spans="1:17" s="43" customFormat="1" ht="13.5" thickBot="1">
      <c r="A63" s="145"/>
      <c r="B63" s="126"/>
      <c r="C63" s="126"/>
      <c r="D63" s="127" t="s">
        <v>58</v>
      </c>
      <c r="E63" s="128">
        <f>D59/E60/E61</f>
        <v>3.5731292517006805</v>
      </c>
      <c r="F63" s="129" t="s">
        <v>56</v>
      </c>
      <c r="G63" s="146"/>
    </row>
    <row r="64" spans="1:17" s="43" customFormat="1">
      <c r="A64" s="308" t="s">
        <v>160</v>
      </c>
      <c r="B64" s="309"/>
      <c r="C64" s="309"/>
      <c r="D64" s="97">
        <f>(1.25/12)*D39</f>
        <v>1750.8333333333335</v>
      </c>
      <c r="E64" s="72" t="s">
        <v>161</v>
      </c>
      <c r="F64" s="133">
        <f>D64*7.48</f>
        <v>13096.233333333335</v>
      </c>
      <c r="G64" s="173" t="s">
        <v>149</v>
      </c>
    </row>
    <row r="65" spans="1:7" s="43" customFormat="1">
      <c r="A65" s="290" t="s">
        <v>163</v>
      </c>
      <c r="B65" s="289"/>
      <c r="C65" s="281"/>
      <c r="D65" s="281"/>
      <c r="E65" s="178">
        <v>11.4</v>
      </c>
      <c r="F65" s="263" t="s">
        <v>165</v>
      </c>
      <c r="G65" s="282"/>
    </row>
    <row r="66" spans="1:7" s="43" customFormat="1" ht="13.5" thickBot="1">
      <c r="A66" s="310" t="s">
        <v>164</v>
      </c>
      <c r="B66" s="281"/>
      <c r="C66" s="281"/>
      <c r="D66" s="281"/>
      <c r="E66" s="128">
        <f>D64/E65</f>
        <v>153.58187134502924</v>
      </c>
      <c r="F66" s="124"/>
      <c r="G66" s="143"/>
    </row>
    <row r="67" spans="1:7" s="43" customFormat="1" ht="13.5" thickBot="1">
      <c r="A67" s="144"/>
      <c r="B67" s="56"/>
      <c r="C67" s="56"/>
      <c r="D67" s="72"/>
      <c r="E67" s="125"/>
      <c r="F67" s="124"/>
      <c r="G67" s="143"/>
    </row>
    <row r="68" spans="1:7" s="43" customFormat="1" ht="13.5" thickTop="1">
      <c r="A68" s="171" t="s">
        <v>82</v>
      </c>
      <c r="B68" s="50"/>
      <c r="C68" s="50"/>
      <c r="D68" s="50"/>
      <c r="E68" s="50"/>
      <c r="F68" s="50"/>
      <c r="G68" s="149"/>
    </row>
    <row r="69" spans="1:7" s="43" customFormat="1" ht="13.35" customHeight="1">
      <c r="A69" s="291" t="s">
        <v>129</v>
      </c>
      <c r="B69" s="292"/>
      <c r="C69" s="292"/>
      <c r="D69" s="292"/>
      <c r="E69" s="292"/>
      <c r="F69" s="292"/>
      <c r="G69" s="293"/>
    </row>
    <row r="70" spans="1:7" s="43" customFormat="1" ht="13.35" customHeight="1">
      <c r="A70" s="291" t="s">
        <v>130</v>
      </c>
      <c r="B70" s="292"/>
      <c r="C70" s="292"/>
      <c r="D70" s="292"/>
      <c r="E70" s="292"/>
      <c r="F70" s="292"/>
      <c r="G70" s="293"/>
    </row>
    <row r="71" spans="1:7" s="43" customFormat="1">
      <c r="A71" s="172" t="s">
        <v>131</v>
      </c>
      <c r="B71" s="46"/>
      <c r="C71" s="46"/>
      <c r="D71" s="46"/>
      <c r="E71" s="46"/>
      <c r="F71" s="46"/>
      <c r="G71" s="173"/>
    </row>
    <row r="72" spans="1:7" s="43" customFormat="1" ht="13.35" customHeight="1">
      <c r="A72" s="291" t="s">
        <v>132</v>
      </c>
      <c r="B72" s="292"/>
      <c r="C72" s="292"/>
      <c r="D72" s="292"/>
      <c r="E72" s="292"/>
      <c r="F72" s="292"/>
      <c r="G72" s="293"/>
    </row>
    <row r="73" spans="1:7" s="43" customFormat="1" ht="13.35" customHeight="1" thickBot="1">
      <c r="A73" s="294" t="s">
        <v>133</v>
      </c>
      <c r="B73" s="295"/>
      <c r="C73" s="295"/>
      <c r="D73" s="295"/>
      <c r="E73" s="295"/>
      <c r="F73" s="295"/>
      <c r="G73" s="296"/>
    </row>
  </sheetData>
  <mergeCells count="27">
    <mergeCell ref="A69:G69"/>
    <mergeCell ref="A70:G70"/>
    <mergeCell ref="A72:G72"/>
    <mergeCell ref="A73:G73"/>
    <mergeCell ref="A59:C59"/>
    <mergeCell ref="A60:B60"/>
    <mergeCell ref="A64:C64"/>
    <mergeCell ref="F65:G65"/>
    <mergeCell ref="A66:D66"/>
    <mergeCell ref="A65:D65"/>
    <mergeCell ref="A16:G16"/>
    <mergeCell ref="D35:E35"/>
    <mergeCell ref="A36:G36"/>
    <mergeCell ref="A37:G37"/>
    <mergeCell ref="A57:G57"/>
    <mergeCell ref="A15:G15"/>
    <mergeCell ref="B1:G1"/>
    <mergeCell ref="A2:G2"/>
    <mergeCell ref="A4:G4"/>
    <mergeCell ref="B5:G6"/>
    <mergeCell ref="B7:G7"/>
    <mergeCell ref="B8:G8"/>
    <mergeCell ref="B9:G9"/>
    <mergeCell ref="A10:G10"/>
    <mergeCell ref="B11:G12"/>
    <mergeCell ref="B13:G13"/>
    <mergeCell ref="B14:G14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3" scale="89" firstPageNumber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"/>
  <sheetViews>
    <sheetView topLeftCell="A28" workbookViewId="0">
      <selection activeCell="B1" sqref="B1:G1"/>
    </sheetView>
  </sheetViews>
  <sheetFormatPr defaultRowHeight="12.75"/>
  <cols>
    <col min="1" max="1" width="19.7109375" customWidth="1"/>
    <col min="2" max="2" width="22.140625" customWidth="1"/>
    <col min="3" max="3" width="11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147" t="s">
        <v>0</v>
      </c>
      <c r="B1" s="229" t="s">
        <v>158</v>
      </c>
      <c r="C1" s="229"/>
      <c r="D1" s="229"/>
      <c r="E1" s="229"/>
      <c r="F1" s="229"/>
      <c r="G1" s="230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>
      <c r="A2" s="231" t="s">
        <v>1</v>
      </c>
      <c r="B2" s="232"/>
      <c r="C2" s="232"/>
      <c r="D2" s="232"/>
      <c r="E2" s="232"/>
      <c r="F2" s="232"/>
      <c r="G2" s="233"/>
    </row>
    <row r="3" spans="1:17" s="43" customFormat="1" ht="13.5" thickTop="1">
      <c r="A3" s="148" t="s">
        <v>2</v>
      </c>
      <c r="B3" s="49"/>
      <c r="C3" s="49"/>
      <c r="D3" s="49"/>
      <c r="E3" s="50"/>
      <c r="F3" s="50"/>
      <c r="G3" s="149"/>
    </row>
    <row r="4" spans="1:17" s="43" customFormat="1" ht="20.25" customHeight="1">
      <c r="A4" s="234" t="s">
        <v>3</v>
      </c>
      <c r="B4" s="235"/>
      <c r="C4" s="235"/>
      <c r="D4" s="235"/>
      <c r="E4" s="235"/>
      <c r="F4" s="235"/>
      <c r="G4" s="236"/>
    </row>
    <row r="5" spans="1:17" s="43" customFormat="1" ht="12.75" customHeight="1">
      <c r="A5" s="140" t="s">
        <v>4</v>
      </c>
      <c r="B5" s="237" t="s">
        <v>5</v>
      </c>
      <c r="C5" s="237"/>
      <c r="D5" s="237"/>
      <c r="E5" s="237"/>
      <c r="F5" s="237"/>
      <c r="G5" s="238"/>
    </row>
    <row r="6" spans="1:17" s="43" customFormat="1">
      <c r="A6" s="150"/>
      <c r="B6" s="237"/>
      <c r="C6" s="237"/>
      <c r="D6" s="237"/>
      <c r="E6" s="237"/>
      <c r="F6" s="237"/>
      <c r="G6" s="238"/>
    </row>
    <row r="7" spans="1:17" s="43" customFormat="1">
      <c r="A7" s="151" t="s">
        <v>6</v>
      </c>
      <c r="B7" s="239" t="s">
        <v>7</v>
      </c>
      <c r="C7" s="239"/>
      <c r="D7" s="239"/>
      <c r="E7" s="239"/>
      <c r="F7" s="239"/>
      <c r="G7" s="240"/>
    </row>
    <row r="8" spans="1:17" s="43" customFormat="1">
      <c r="A8" s="151" t="s">
        <v>8</v>
      </c>
      <c r="B8" s="227" t="s">
        <v>9</v>
      </c>
      <c r="C8" s="227"/>
      <c r="D8" s="227"/>
      <c r="E8" s="227"/>
      <c r="F8" s="227"/>
      <c r="G8" s="228"/>
    </row>
    <row r="9" spans="1:17" s="43" customFormat="1" ht="12.75" customHeight="1">
      <c r="A9" s="151" t="s">
        <v>10</v>
      </c>
      <c r="B9" s="242" t="s">
        <v>11</v>
      </c>
      <c r="C9" s="242"/>
      <c r="D9" s="242"/>
      <c r="E9" s="242"/>
      <c r="F9" s="242"/>
      <c r="G9" s="243"/>
      <c r="I9" s="43" t="s">
        <v>46</v>
      </c>
    </row>
    <row r="10" spans="1:17" s="43" customFormat="1" ht="44.85" customHeight="1">
      <c r="A10" s="244" t="s">
        <v>152</v>
      </c>
      <c r="B10" s="245"/>
      <c r="C10" s="245"/>
      <c r="D10" s="245"/>
      <c r="E10" s="245"/>
      <c r="F10" s="245"/>
      <c r="G10" s="246"/>
    </row>
    <row r="11" spans="1:17" s="43" customFormat="1" ht="12.75" customHeight="1">
      <c r="A11" s="140" t="s">
        <v>13</v>
      </c>
      <c r="B11" s="237" t="s">
        <v>14</v>
      </c>
      <c r="C11" s="237"/>
      <c r="D11" s="237"/>
      <c r="E11" s="237"/>
      <c r="F11" s="237"/>
      <c r="G11" s="238"/>
    </row>
    <row r="12" spans="1:17" s="43" customFormat="1" ht="12.75" customHeight="1">
      <c r="A12" s="150"/>
      <c r="B12" s="237"/>
      <c r="C12" s="237"/>
      <c r="D12" s="237"/>
      <c r="E12" s="237"/>
      <c r="F12" s="237"/>
      <c r="G12" s="238"/>
    </row>
    <row r="13" spans="1:17" s="43" customFormat="1" ht="12.75" customHeight="1">
      <c r="A13" s="151" t="s">
        <v>8</v>
      </c>
      <c r="B13" s="227" t="s">
        <v>15</v>
      </c>
      <c r="C13" s="227"/>
      <c r="D13" s="227"/>
      <c r="E13" s="227"/>
      <c r="F13" s="227"/>
      <c r="G13" s="228"/>
    </row>
    <row r="14" spans="1:17" s="43" customFormat="1" ht="12.75" customHeight="1" thickBot="1">
      <c r="A14" s="151" t="s">
        <v>16</v>
      </c>
      <c r="B14" s="247" t="s">
        <v>17</v>
      </c>
      <c r="C14" s="247"/>
      <c r="D14" s="247"/>
      <c r="E14" s="247"/>
      <c r="F14" s="247"/>
      <c r="G14" s="248"/>
    </row>
    <row r="15" spans="1:17" s="43" customFormat="1">
      <c r="A15" s="249" t="s">
        <v>153</v>
      </c>
      <c r="B15" s="250"/>
      <c r="C15" s="250"/>
      <c r="D15" s="250"/>
      <c r="E15" s="250"/>
      <c r="F15" s="250"/>
      <c r="G15" s="251"/>
    </row>
    <row r="16" spans="1:17" s="43" customFormat="1" ht="13.5" thickBot="1">
      <c r="A16" s="252" t="s">
        <v>135</v>
      </c>
      <c r="B16" s="253"/>
      <c r="C16" s="253"/>
      <c r="D16" s="253"/>
      <c r="E16" s="253"/>
      <c r="F16" s="253"/>
      <c r="G16" s="254"/>
    </row>
    <row r="17" spans="1:7" s="43" customFormat="1" ht="15" thickTop="1">
      <c r="A17" s="152" t="s">
        <v>124</v>
      </c>
      <c r="B17" s="56"/>
      <c r="C17" s="56"/>
      <c r="D17" s="56"/>
      <c r="E17" s="56"/>
      <c r="F17" s="56"/>
      <c r="G17" s="143"/>
    </row>
    <row r="18" spans="1:7" s="43" customFormat="1">
      <c r="A18" s="140" t="s">
        <v>20</v>
      </c>
      <c r="B18" s="56"/>
      <c r="C18" s="58"/>
      <c r="D18" s="59">
        <v>0</v>
      </c>
      <c r="E18" s="72" t="s">
        <v>77</v>
      </c>
      <c r="F18" s="61">
        <f>D18/43560</f>
        <v>0</v>
      </c>
      <c r="G18" s="153" t="s">
        <v>22</v>
      </c>
    </row>
    <row r="19" spans="1:7" s="43" customFormat="1">
      <c r="A19" s="154" t="s">
        <v>23</v>
      </c>
      <c r="B19" s="64">
        <v>0.9</v>
      </c>
      <c r="C19" s="65"/>
      <c r="D19" s="65"/>
      <c r="E19" s="65"/>
      <c r="F19" s="65"/>
      <c r="G19" s="155"/>
    </row>
    <row r="20" spans="1:7" s="43" customFormat="1">
      <c r="A20" s="140" t="s">
        <v>24</v>
      </c>
      <c r="B20" s="56"/>
      <c r="C20" s="56"/>
      <c r="D20" s="59">
        <v>0</v>
      </c>
      <c r="E20" s="72" t="s">
        <v>77</v>
      </c>
      <c r="F20" s="61">
        <f>D20/43560</f>
        <v>0</v>
      </c>
      <c r="G20" s="153" t="s">
        <v>22</v>
      </c>
    </row>
    <row r="21" spans="1:7" s="43" customFormat="1">
      <c r="A21" s="154" t="s">
        <v>25</v>
      </c>
      <c r="B21" s="64">
        <v>0.25</v>
      </c>
      <c r="C21" s="65"/>
      <c r="D21" s="65"/>
      <c r="E21" s="65"/>
      <c r="F21" s="65"/>
      <c r="G21" s="155"/>
    </row>
    <row r="22" spans="1:7" s="43" customFormat="1">
      <c r="A22" s="140" t="s">
        <v>26</v>
      </c>
      <c r="B22" s="56"/>
      <c r="C22" s="56"/>
      <c r="D22" s="123">
        <v>24255</v>
      </c>
      <c r="E22" s="72" t="s">
        <v>77</v>
      </c>
      <c r="F22" s="61">
        <f>D22/43560</f>
        <v>0.55681818181818177</v>
      </c>
      <c r="G22" s="153" t="s">
        <v>22</v>
      </c>
    </row>
    <row r="23" spans="1:7" s="43" customFormat="1">
      <c r="A23" s="154" t="s">
        <v>28</v>
      </c>
      <c r="B23" s="64">
        <v>0.15</v>
      </c>
      <c r="C23" s="65"/>
      <c r="D23" s="65"/>
      <c r="E23" s="65"/>
      <c r="F23" s="65"/>
      <c r="G23" s="155"/>
    </row>
    <row r="24" spans="1:7" s="43" customFormat="1">
      <c r="A24" s="140" t="s">
        <v>29</v>
      </c>
      <c r="B24" s="56"/>
      <c r="C24" s="56"/>
      <c r="D24" s="67">
        <f>D18+D20+D22</f>
        <v>24255</v>
      </c>
      <c r="E24" s="72" t="s">
        <v>77</v>
      </c>
      <c r="F24" s="61">
        <f>F18+F20+F22</f>
        <v>0.55681818181818177</v>
      </c>
      <c r="G24" s="153" t="s">
        <v>22</v>
      </c>
    </row>
    <row r="25" spans="1:7" s="43" customFormat="1" ht="14.25" customHeight="1">
      <c r="A25" s="154" t="s">
        <v>30</v>
      </c>
      <c r="B25" s="68">
        <f>(D18/D24*B19)+(D20/D24*B21)+(D22/D24*B23)</f>
        <v>0.15</v>
      </c>
      <c r="C25" s="69"/>
      <c r="D25" s="65"/>
      <c r="E25" s="70"/>
      <c r="F25" s="65"/>
      <c r="G25" s="155"/>
    </row>
    <row r="26" spans="1:7" s="43" customFormat="1">
      <c r="A26" s="156"/>
      <c r="B26" s="72"/>
      <c r="C26" s="56"/>
      <c r="D26" s="56"/>
      <c r="E26" s="56"/>
      <c r="F26" s="56"/>
      <c r="G26" s="143"/>
    </row>
    <row r="27" spans="1:7" s="43" customFormat="1">
      <c r="A27" s="140"/>
      <c r="B27" s="60"/>
      <c r="C27" s="72"/>
      <c r="D27" s="60"/>
      <c r="E27" s="72"/>
      <c r="F27" s="60"/>
      <c r="G27" s="153"/>
    </row>
    <row r="28" spans="1:7" s="43" customFormat="1">
      <c r="A28" s="140" t="s">
        <v>31</v>
      </c>
      <c r="B28" s="72"/>
      <c r="C28" s="72"/>
      <c r="D28" s="72"/>
      <c r="E28" s="72"/>
      <c r="F28" s="72"/>
      <c r="G28" s="153"/>
    </row>
    <row r="29" spans="1:7" s="43" customFormat="1">
      <c r="A29" s="140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157">
        <v>1</v>
      </c>
    </row>
    <row r="30" spans="1:7" s="43" customFormat="1">
      <c r="A30" s="144"/>
      <c r="B30" s="60" t="s">
        <v>30</v>
      </c>
      <c r="C30" s="76">
        <f>B25</f>
        <v>0.15</v>
      </c>
      <c r="D30" s="72" t="s">
        <v>36</v>
      </c>
      <c r="E30" s="56"/>
      <c r="F30" s="56"/>
      <c r="G30" s="143"/>
    </row>
    <row r="31" spans="1:7" s="43" customFormat="1">
      <c r="A31" s="144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143"/>
    </row>
    <row r="32" spans="1:7" s="43" customFormat="1" ht="12.75" customHeight="1">
      <c r="A32" s="140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143"/>
    </row>
    <row r="33" spans="1:17" s="43" customFormat="1" ht="25.5">
      <c r="A33" s="158" t="s">
        <v>42</v>
      </c>
      <c r="B33" s="60" t="s">
        <v>43</v>
      </c>
      <c r="C33" s="80">
        <f>3.14</f>
        <v>3.14</v>
      </c>
      <c r="D33" s="72" t="s">
        <v>44</v>
      </c>
      <c r="E33" s="56"/>
      <c r="F33" s="56"/>
      <c r="G33" s="143"/>
    </row>
    <row r="34" spans="1:17" s="43" customFormat="1" ht="13.5" thickBot="1">
      <c r="A34" s="144"/>
      <c r="B34" s="56"/>
      <c r="C34" s="56"/>
      <c r="D34" s="126"/>
      <c r="E34" s="126"/>
      <c r="F34" s="56"/>
      <c r="G34" s="143"/>
    </row>
    <row r="35" spans="1:17" s="43" customFormat="1" ht="15" thickBot="1">
      <c r="A35" s="159" t="s">
        <v>125</v>
      </c>
      <c r="B35" s="82">
        <f>F24*B25*C33</f>
        <v>0.2622613636363636</v>
      </c>
      <c r="C35" s="83" t="s">
        <v>45</v>
      </c>
      <c r="D35" s="255" t="s">
        <v>154</v>
      </c>
      <c r="E35" s="256"/>
      <c r="F35" s="86">
        <f>B35*0.1</f>
        <v>2.6226136363636361E-2</v>
      </c>
      <c r="G35" s="160" t="s">
        <v>45</v>
      </c>
    </row>
    <row r="36" spans="1:17" s="43" customFormat="1" ht="13.5" thickTop="1">
      <c r="A36" s="249" t="s">
        <v>48</v>
      </c>
      <c r="B36" s="250"/>
      <c r="C36" s="250"/>
      <c r="D36" s="250"/>
      <c r="E36" s="250"/>
      <c r="F36" s="250"/>
      <c r="G36" s="251"/>
    </row>
    <row r="37" spans="1:17" s="43" customFormat="1" ht="13.5" thickBot="1">
      <c r="A37" s="252" t="s">
        <v>60</v>
      </c>
      <c r="B37" s="253"/>
      <c r="C37" s="253"/>
      <c r="D37" s="253"/>
      <c r="E37" s="253"/>
      <c r="F37" s="253"/>
      <c r="G37" s="254"/>
    </row>
    <row r="38" spans="1:17" s="43" customFormat="1" ht="15.6" customHeight="1" thickTop="1">
      <c r="A38" s="152" t="s">
        <v>126</v>
      </c>
      <c r="B38" s="56"/>
      <c r="C38" s="56"/>
      <c r="D38" s="56"/>
      <c r="E38" s="56"/>
      <c r="F38" s="56"/>
      <c r="G38" s="143"/>
    </row>
    <row r="39" spans="1:17" s="43" customFormat="1" ht="13.35" customHeight="1">
      <c r="A39" s="140" t="s">
        <v>20</v>
      </c>
      <c r="B39" s="56"/>
      <c r="C39" s="58"/>
      <c r="D39" s="59">
        <v>21110</v>
      </c>
      <c r="E39" s="72" t="s">
        <v>77</v>
      </c>
      <c r="F39" s="61">
        <f>D39/43560</f>
        <v>0.48461891643709826</v>
      </c>
      <c r="G39" s="153" t="s">
        <v>22</v>
      </c>
    </row>
    <row r="40" spans="1:17" s="43" customFormat="1" ht="12.75" customHeight="1">
      <c r="A40" s="154" t="s">
        <v>23</v>
      </c>
      <c r="B40" s="64">
        <v>0.9</v>
      </c>
      <c r="C40" s="65"/>
      <c r="D40" s="65"/>
      <c r="E40" s="65"/>
      <c r="F40" s="65"/>
      <c r="G40" s="155"/>
    </row>
    <row r="41" spans="1:17" s="43" customFormat="1" ht="12.75" customHeight="1">
      <c r="A41" s="140" t="s">
        <v>24</v>
      </c>
      <c r="B41" s="56"/>
      <c r="C41" s="56"/>
      <c r="D41" s="59">
        <v>0</v>
      </c>
      <c r="E41" s="72" t="s">
        <v>77</v>
      </c>
      <c r="F41" s="61">
        <f>D41/43560</f>
        <v>0</v>
      </c>
      <c r="G41" s="153" t="s">
        <v>22</v>
      </c>
    </row>
    <row r="42" spans="1:17" s="43" customFormat="1" ht="12.75" customHeight="1">
      <c r="A42" s="154" t="s">
        <v>25</v>
      </c>
      <c r="B42" s="64">
        <v>0.25</v>
      </c>
      <c r="C42" s="65"/>
      <c r="D42" s="65"/>
      <c r="E42" s="65"/>
      <c r="F42" s="65"/>
      <c r="G42" s="155"/>
    </row>
    <row r="43" spans="1:17" s="43" customFormat="1">
      <c r="A43" s="140" t="s">
        <v>26</v>
      </c>
      <c r="B43" s="56"/>
      <c r="C43" s="56"/>
      <c r="D43" s="88">
        <v>3145</v>
      </c>
      <c r="E43" s="72" t="s">
        <v>77</v>
      </c>
      <c r="F43" s="61">
        <f>D43/43560</f>
        <v>7.2199265381083566E-2</v>
      </c>
      <c r="G43" s="153" t="s">
        <v>22</v>
      </c>
    </row>
    <row r="44" spans="1:17" s="43" customFormat="1">
      <c r="A44" s="154" t="s">
        <v>28</v>
      </c>
      <c r="B44" s="64">
        <v>0.15</v>
      </c>
      <c r="C44" s="65"/>
      <c r="D44" s="65"/>
      <c r="E44" s="65"/>
      <c r="F44" s="65"/>
      <c r="G44" s="155"/>
      <c r="H44" s="46"/>
      <c r="I44" s="46"/>
      <c r="J44" s="46"/>
    </row>
    <row r="45" spans="1:17" s="43" customFormat="1">
      <c r="A45" s="140" t="s">
        <v>29</v>
      </c>
      <c r="B45" s="56"/>
      <c r="C45" s="56"/>
      <c r="D45" s="67">
        <f>D39+D41+D43</f>
        <v>24255</v>
      </c>
      <c r="E45" s="72" t="s">
        <v>77</v>
      </c>
      <c r="F45" s="61">
        <f>F39+F41+F43</f>
        <v>0.55681818181818188</v>
      </c>
      <c r="G45" s="153" t="s">
        <v>22</v>
      </c>
      <c r="H45" s="56"/>
      <c r="I45" s="46"/>
      <c r="J45" s="46"/>
    </row>
    <row r="46" spans="1:17" s="43" customFormat="1">
      <c r="A46" s="154" t="s">
        <v>30</v>
      </c>
      <c r="B46" s="68">
        <f>(D39/D45*B40)+(D41/D45*B42)+(D43/D45*B44)</f>
        <v>0.80275200989486706</v>
      </c>
      <c r="C46" s="69"/>
      <c r="D46" s="65"/>
      <c r="E46" s="70"/>
      <c r="F46" s="65"/>
      <c r="G46" s="155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156"/>
      <c r="B47" s="72"/>
      <c r="C47" s="56"/>
      <c r="D47" s="56"/>
      <c r="E47" s="56"/>
      <c r="F47" s="56"/>
      <c r="G47" s="143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140"/>
      <c r="B48" s="60"/>
      <c r="C48" s="72"/>
      <c r="D48" s="60"/>
      <c r="E48" s="72"/>
      <c r="F48" s="60"/>
      <c r="G48" s="153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140" t="s">
        <v>31</v>
      </c>
      <c r="B49" s="72"/>
      <c r="C49" s="72"/>
      <c r="D49" s="72"/>
      <c r="E49" s="72"/>
      <c r="F49" s="72"/>
      <c r="G49" s="153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140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157">
        <v>1.2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144"/>
      <c r="B51" s="60" t="s">
        <v>30</v>
      </c>
      <c r="C51" s="76">
        <f>B46</f>
        <v>0.80275200989486706</v>
      </c>
      <c r="D51" s="72" t="s">
        <v>36</v>
      </c>
      <c r="E51" s="56"/>
      <c r="F51" s="56"/>
      <c r="G51" s="143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144"/>
      <c r="B52" s="60" t="s">
        <v>37</v>
      </c>
      <c r="C52" s="77">
        <f>G50/C50*100</f>
        <v>0.70588235294117641</v>
      </c>
      <c r="D52" s="72" t="s">
        <v>38</v>
      </c>
      <c r="E52" s="56"/>
      <c r="F52" s="56"/>
      <c r="G52" s="143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140" t="s">
        <v>39</v>
      </c>
      <c r="B53" s="60" t="s">
        <v>40</v>
      </c>
      <c r="C53" s="76">
        <f>(C50^0.8*(1000/B46-9)^0.7)/1140*(C52^0.5)</f>
        <v>6.5525315476532464</v>
      </c>
      <c r="D53" s="72" t="s">
        <v>41</v>
      </c>
      <c r="E53" s="78"/>
      <c r="F53" s="72"/>
      <c r="G53" s="143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158" t="s">
        <v>42</v>
      </c>
      <c r="B54" s="60" t="s">
        <v>43</v>
      </c>
      <c r="C54" s="80">
        <f>3.14</f>
        <v>3.14</v>
      </c>
      <c r="D54" s="72" t="s">
        <v>44</v>
      </c>
      <c r="E54" s="56"/>
      <c r="F54" s="56"/>
      <c r="G54" s="143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>
      <c r="A55" s="144"/>
      <c r="B55" s="56"/>
      <c r="C55" s="56"/>
      <c r="D55" s="56"/>
      <c r="E55" s="56"/>
      <c r="F55" s="56"/>
      <c r="G55" s="143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>
      <c r="A56" s="159" t="s">
        <v>127</v>
      </c>
      <c r="B56" s="82">
        <f>F45*B46*C54</f>
        <v>1.4035389118457302</v>
      </c>
      <c r="C56" s="83" t="s">
        <v>45</v>
      </c>
      <c r="D56" s="84" t="s">
        <v>46</v>
      </c>
      <c r="E56" s="91"/>
      <c r="F56" s="92"/>
      <c r="G56" s="161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 ht="14.25" thickTop="1" thickBot="1">
      <c r="A57" s="285" t="s">
        <v>141</v>
      </c>
      <c r="B57" s="286"/>
      <c r="C57" s="286"/>
      <c r="D57" s="286"/>
      <c r="E57" s="286"/>
      <c r="F57" s="286"/>
      <c r="G57" s="287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5" thickTop="1">
      <c r="A58" s="162" t="s">
        <v>136</v>
      </c>
      <c r="B58" s="56"/>
      <c r="C58" s="95">
        <f>1.25</f>
        <v>1.25</v>
      </c>
      <c r="D58" s="72" t="s">
        <v>137</v>
      </c>
      <c r="E58" s="46"/>
      <c r="F58" s="56"/>
      <c r="G58" s="143"/>
    </row>
    <row r="59" spans="1:17" s="43" customFormat="1" ht="13.5" thickBot="1">
      <c r="A59" s="163" t="s">
        <v>143</v>
      </c>
      <c r="B59" s="126"/>
      <c r="C59" s="130">
        <f>(1.25/12)*D39</f>
        <v>2198.9583333333335</v>
      </c>
      <c r="D59" s="127" t="s">
        <v>148</v>
      </c>
      <c r="E59" s="133">
        <f>C59*7.48</f>
        <v>16448.208333333336</v>
      </c>
      <c r="F59" s="46" t="s">
        <v>149</v>
      </c>
      <c r="G59" s="146"/>
    </row>
    <row r="60" spans="1:17" s="43" customFormat="1" ht="13.5" thickBot="1">
      <c r="A60" s="311" t="s">
        <v>145</v>
      </c>
      <c r="B60" s="312"/>
      <c r="C60" s="312"/>
      <c r="D60" s="312"/>
      <c r="E60" s="312"/>
      <c r="F60" s="312"/>
      <c r="G60" s="313"/>
    </row>
    <row r="61" spans="1:17" s="43" customFormat="1" ht="14.25" thickTop="1" thickBot="1">
      <c r="A61" s="164" t="s">
        <v>146</v>
      </c>
      <c r="B61" s="126"/>
      <c r="C61" s="132">
        <f>B56</f>
        <v>1.4035389118457302</v>
      </c>
      <c r="D61" s="127" t="s">
        <v>51</v>
      </c>
      <c r="E61" s="131"/>
      <c r="F61" s="126"/>
      <c r="G61" s="146"/>
    </row>
    <row r="62" spans="1:17" s="43" customFormat="1" ht="13.5" thickBot="1">
      <c r="A62" s="311" t="s">
        <v>142</v>
      </c>
      <c r="B62" s="312"/>
      <c r="C62" s="312"/>
      <c r="D62" s="312"/>
      <c r="E62" s="312"/>
      <c r="F62" s="312"/>
      <c r="G62" s="313"/>
    </row>
    <row r="63" spans="1:17" s="43" customFormat="1" ht="13.5" thickTop="1">
      <c r="A63" s="138" t="s">
        <v>144</v>
      </c>
      <c r="B63" s="89"/>
      <c r="C63" s="174">
        <f>B35-F35</f>
        <v>0.23603522727272724</v>
      </c>
      <c r="D63" s="72" t="s">
        <v>51</v>
      </c>
      <c r="E63" s="89"/>
      <c r="F63" s="89"/>
      <c r="G63" s="139"/>
    </row>
    <row r="64" spans="1:17" s="43" customFormat="1">
      <c r="A64" s="140" t="s">
        <v>157</v>
      </c>
      <c r="B64" s="89"/>
      <c r="C64" s="174">
        <f>C61-C63</f>
        <v>1.1675036845730029</v>
      </c>
      <c r="D64" s="72" t="s">
        <v>51</v>
      </c>
      <c r="E64" s="89"/>
      <c r="F64" s="89"/>
      <c r="G64" s="139"/>
    </row>
    <row r="65" spans="1:7" s="43" customFormat="1">
      <c r="A65" s="141" t="s">
        <v>147</v>
      </c>
      <c r="B65" s="135"/>
      <c r="C65" s="175">
        <f>C64*60*60*24</f>
        <v>100872.31834710744</v>
      </c>
      <c r="D65" s="134" t="s">
        <v>148</v>
      </c>
      <c r="E65" s="176">
        <f>C65*7.48</f>
        <v>754524.94123636372</v>
      </c>
      <c r="F65" s="137" t="s">
        <v>149</v>
      </c>
      <c r="G65" s="142"/>
    </row>
    <row r="66" spans="1:7" s="43" customFormat="1">
      <c r="A66" s="140"/>
      <c r="B66" s="317" t="s">
        <v>151</v>
      </c>
      <c r="C66" s="318"/>
      <c r="D66" s="72" t="s">
        <v>55</v>
      </c>
      <c r="E66" s="59">
        <v>42</v>
      </c>
      <c r="F66" s="72" t="s">
        <v>56</v>
      </c>
      <c r="G66" s="143"/>
    </row>
    <row r="67" spans="1:7" s="43" customFormat="1">
      <c r="A67" s="144"/>
      <c r="B67" s="56"/>
      <c r="C67" s="56"/>
      <c r="D67" s="72" t="s">
        <v>57</v>
      </c>
      <c r="E67" s="59">
        <v>156</v>
      </c>
      <c r="F67" s="72" t="s">
        <v>56</v>
      </c>
      <c r="G67" s="143"/>
    </row>
    <row r="68" spans="1:7" s="43" customFormat="1" ht="13.5" thickBot="1">
      <c r="A68" s="145"/>
      <c r="B68" s="126"/>
      <c r="C68" s="126"/>
      <c r="D68" s="127" t="s">
        <v>58</v>
      </c>
      <c r="E68" s="128">
        <f>C65/E66/E67</f>
        <v>15.395652983380256</v>
      </c>
      <c r="F68" s="129" t="s">
        <v>56</v>
      </c>
      <c r="G68" s="146"/>
    </row>
    <row r="69" spans="1:7" s="43" customFormat="1" ht="13.5" thickBot="1">
      <c r="A69" s="144"/>
      <c r="B69" s="56"/>
      <c r="C69" s="56"/>
      <c r="D69" s="72"/>
      <c r="E69" s="125"/>
      <c r="F69" s="124"/>
      <c r="G69" s="143"/>
    </row>
    <row r="70" spans="1:7" s="43" customFormat="1" ht="40.35" customHeight="1" thickTop="1">
      <c r="A70" s="319" t="s">
        <v>155</v>
      </c>
      <c r="B70" s="302"/>
      <c r="C70" s="302"/>
      <c r="D70" s="302"/>
      <c r="E70" s="302"/>
      <c r="F70" s="302"/>
      <c r="G70" s="320"/>
    </row>
    <row r="71" spans="1:7" s="43" customFormat="1" ht="13.35" customHeight="1">
      <c r="A71" s="140" t="s">
        <v>138</v>
      </c>
      <c r="B71" s="237" t="s">
        <v>63</v>
      </c>
      <c r="C71" s="237"/>
      <c r="D71" s="237"/>
      <c r="E71" s="237"/>
      <c r="F71" s="237"/>
      <c r="G71" s="238"/>
    </row>
    <row r="72" spans="1:7" s="43" customFormat="1">
      <c r="A72" s="151" t="s">
        <v>139</v>
      </c>
      <c r="B72" s="105" t="s">
        <v>65</v>
      </c>
      <c r="C72" s="105"/>
      <c r="D72" s="105"/>
      <c r="E72" s="106"/>
      <c r="F72" s="106"/>
      <c r="G72" s="165"/>
    </row>
    <row r="73" spans="1:7" s="43" customFormat="1" ht="13.35" customHeight="1">
      <c r="A73" s="151" t="s">
        <v>140</v>
      </c>
      <c r="B73" s="242" t="s">
        <v>66</v>
      </c>
      <c r="C73" s="242"/>
      <c r="D73" s="242"/>
      <c r="E73" s="242"/>
      <c r="F73" s="242"/>
      <c r="G73" s="243"/>
    </row>
    <row r="74" spans="1:7" s="43" customFormat="1">
      <c r="A74" s="166" t="s">
        <v>67</v>
      </c>
      <c r="B74" s="106" t="s">
        <v>68</v>
      </c>
      <c r="C74" s="106"/>
      <c r="D74" s="106"/>
      <c r="E74" s="106"/>
      <c r="F74" s="106"/>
      <c r="G74" s="165"/>
    </row>
    <row r="75" spans="1:7" s="43" customFormat="1" ht="13.5" customHeight="1" thickBot="1">
      <c r="A75" s="167" t="s">
        <v>69</v>
      </c>
      <c r="B75" s="110" t="s">
        <v>70</v>
      </c>
      <c r="C75" s="110"/>
      <c r="D75" s="110"/>
      <c r="E75" s="110"/>
      <c r="F75" s="110"/>
      <c r="G75" s="168"/>
    </row>
    <row r="76" spans="1:7" s="43" customFormat="1">
      <c r="A76" s="314" t="s">
        <v>71</v>
      </c>
      <c r="B76" s="315"/>
      <c r="C76" s="315"/>
      <c r="D76" s="315"/>
      <c r="E76" s="315"/>
      <c r="F76" s="315"/>
      <c r="G76" s="316"/>
    </row>
    <row r="77" spans="1:7" s="43" customFormat="1">
      <c r="A77" s="156" t="s">
        <v>150</v>
      </c>
      <c r="B77" s="95">
        <f>C63</f>
        <v>0.23603522727272724</v>
      </c>
      <c r="C77" s="72" t="s">
        <v>45</v>
      </c>
      <c r="D77" s="60" t="s">
        <v>73</v>
      </c>
      <c r="E77" s="59">
        <v>0.25</v>
      </c>
      <c r="F77" s="72" t="s">
        <v>74</v>
      </c>
      <c r="G77" s="143"/>
    </row>
    <row r="78" spans="1:7" s="43" customFormat="1">
      <c r="A78" s="156" t="s">
        <v>30</v>
      </c>
      <c r="B78" s="113">
        <v>0.62</v>
      </c>
      <c r="C78" s="72" t="s">
        <v>75</v>
      </c>
      <c r="D78" s="60" t="s">
        <v>76</v>
      </c>
      <c r="E78" s="114">
        <f>B77/(B78*(2*B79*E77)^0.5)</f>
        <v>9.4938444699529195E-2</v>
      </c>
      <c r="F78" s="72" t="s">
        <v>77</v>
      </c>
      <c r="G78" s="143"/>
    </row>
    <row r="79" spans="1:7" s="43" customFormat="1">
      <c r="A79" s="156" t="s">
        <v>78</v>
      </c>
      <c r="B79" s="113">
        <v>32.159999999999997</v>
      </c>
      <c r="C79" s="72" t="s">
        <v>79</v>
      </c>
      <c r="D79" s="46"/>
      <c r="E79" s="46"/>
      <c r="F79" s="56"/>
      <c r="G79" s="143"/>
    </row>
    <row r="80" spans="1:7" s="43" customFormat="1" ht="13.5" thickBot="1">
      <c r="A80" s="144"/>
      <c r="B80" s="56"/>
      <c r="C80" s="56"/>
      <c r="D80" s="56"/>
      <c r="E80" s="56"/>
      <c r="F80" s="56"/>
      <c r="G80" s="143"/>
    </row>
    <row r="81" spans="1:7" s="43" customFormat="1" ht="13.5" thickBot="1">
      <c r="A81" s="169" t="s">
        <v>80</v>
      </c>
      <c r="B81" s="116"/>
      <c r="C81" s="116"/>
      <c r="D81" s="117">
        <f>((E78/PI())^0.5)*2*12</f>
        <v>4.1721254803063381</v>
      </c>
      <c r="E81" s="118" t="s">
        <v>81</v>
      </c>
      <c r="F81" s="116"/>
      <c r="G81" s="170"/>
    </row>
    <row r="82" spans="1:7" s="43" customFormat="1" ht="13.5" thickTop="1">
      <c r="A82" s="171" t="s">
        <v>82</v>
      </c>
      <c r="B82" s="50"/>
      <c r="C82" s="50"/>
      <c r="D82" s="50"/>
      <c r="E82" s="50"/>
      <c r="F82" s="50"/>
      <c r="G82" s="149"/>
    </row>
    <row r="83" spans="1:7" s="43" customFormat="1" ht="13.35" customHeight="1">
      <c r="A83" s="291" t="s">
        <v>129</v>
      </c>
      <c r="B83" s="292"/>
      <c r="C83" s="292"/>
      <c r="D83" s="292"/>
      <c r="E83" s="292"/>
      <c r="F83" s="292"/>
      <c r="G83" s="293"/>
    </row>
    <row r="84" spans="1:7" s="43" customFormat="1" ht="13.35" customHeight="1">
      <c r="A84" s="291" t="s">
        <v>130</v>
      </c>
      <c r="B84" s="292"/>
      <c r="C84" s="292"/>
      <c r="D84" s="292"/>
      <c r="E84" s="292"/>
      <c r="F84" s="292"/>
      <c r="G84" s="293"/>
    </row>
    <row r="85" spans="1:7" s="43" customFormat="1">
      <c r="A85" s="172" t="s">
        <v>131</v>
      </c>
      <c r="B85" s="46"/>
      <c r="C85" s="46"/>
      <c r="D85" s="46"/>
      <c r="E85" s="46"/>
      <c r="F85" s="46"/>
      <c r="G85" s="173"/>
    </row>
    <row r="86" spans="1:7" s="43" customFormat="1" ht="13.35" customHeight="1">
      <c r="A86" s="291" t="s">
        <v>132</v>
      </c>
      <c r="B86" s="292"/>
      <c r="C86" s="292"/>
      <c r="D86" s="292"/>
      <c r="E86" s="292"/>
      <c r="F86" s="292"/>
      <c r="G86" s="293"/>
    </row>
    <row r="87" spans="1:7" s="43" customFormat="1" ht="13.35" customHeight="1" thickBot="1">
      <c r="A87" s="294" t="s">
        <v>133</v>
      </c>
      <c r="B87" s="295"/>
      <c r="C87" s="295"/>
      <c r="D87" s="295"/>
      <c r="E87" s="295"/>
      <c r="F87" s="295"/>
      <c r="G87" s="296"/>
    </row>
  </sheetData>
  <mergeCells count="28">
    <mergeCell ref="B8:G8"/>
    <mergeCell ref="B1:G1"/>
    <mergeCell ref="A2:G2"/>
    <mergeCell ref="A4:G4"/>
    <mergeCell ref="B5:G6"/>
    <mergeCell ref="B7:G7"/>
    <mergeCell ref="A16:G16"/>
    <mergeCell ref="A36:G36"/>
    <mergeCell ref="A37:G37"/>
    <mergeCell ref="A57:G57"/>
    <mergeCell ref="B9:G9"/>
    <mergeCell ref="A10:G10"/>
    <mergeCell ref="B11:G12"/>
    <mergeCell ref="B13:G13"/>
    <mergeCell ref="B14:G14"/>
    <mergeCell ref="A15:G15"/>
    <mergeCell ref="D35:E35"/>
    <mergeCell ref="A86:G86"/>
    <mergeCell ref="A87:G87"/>
    <mergeCell ref="A60:G60"/>
    <mergeCell ref="A62:G62"/>
    <mergeCell ref="A76:G76"/>
    <mergeCell ref="A83:G83"/>
    <mergeCell ref="B66:C66"/>
    <mergeCell ref="A70:G70"/>
    <mergeCell ref="B71:G71"/>
    <mergeCell ref="B73:G73"/>
    <mergeCell ref="A84:G84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3" scale="89" firstPageNumber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7"/>
  <sheetViews>
    <sheetView topLeftCell="A25" workbookViewId="0">
      <selection activeCell="C33" sqref="C33"/>
    </sheetView>
  </sheetViews>
  <sheetFormatPr defaultRowHeight="12.75"/>
  <cols>
    <col min="1" max="1" width="19.7109375" customWidth="1"/>
    <col min="2" max="2" width="22.140625" customWidth="1"/>
    <col min="3" max="3" width="11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147" t="s">
        <v>0</v>
      </c>
      <c r="B1" s="229" t="s">
        <v>158</v>
      </c>
      <c r="C1" s="229"/>
      <c r="D1" s="229"/>
      <c r="E1" s="229"/>
      <c r="F1" s="229"/>
      <c r="G1" s="230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 ht="13.5" thickBot="1">
      <c r="A2" s="231" t="s">
        <v>1</v>
      </c>
      <c r="B2" s="232"/>
      <c r="C2" s="232"/>
      <c r="D2" s="232"/>
      <c r="E2" s="232"/>
      <c r="F2" s="232"/>
      <c r="G2" s="233"/>
    </row>
    <row r="3" spans="1:17" s="43" customFormat="1" ht="13.5" thickTop="1">
      <c r="A3" s="148" t="s">
        <v>2</v>
      </c>
      <c r="B3" s="49"/>
      <c r="C3" s="49"/>
      <c r="D3" s="49"/>
      <c r="E3" s="50"/>
      <c r="F3" s="50"/>
      <c r="G3" s="149"/>
    </row>
    <row r="4" spans="1:17" s="43" customFormat="1" ht="20.25" customHeight="1">
      <c r="A4" s="234" t="s">
        <v>3</v>
      </c>
      <c r="B4" s="235"/>
      <c r="C4" s="235"/>
      <c r="D4" s="235"/>
      <c r="E4" s="235"/>
      <c r="F4" s="235"/>
      <c r="G4" s="236"/>
    </row>
    <row r="5" spans="1:17" s="43" customFormat="1" ht="12.75" customHeight="1">
      <c r="A5" s="140" t="s">
        <v>4</v>
      </c>
      <c r="B5" s="237" t="s">
        <v>5</v>
      </c>
      <c r="C5" s="237"/>
      <c r="D5" s="237"/>
      <c r="E5" s="237"/>
      <c r="F5" s="237"/>
      <c r="G5" s="238"/>
    </row>
    <row r="6" spans="1:17" s="43" customFormat="1">
      <c r="A6" s="150"/>
      <c r="B6" s="237"/>
      <c r="C6" s="237"/>
      <c r="D6" s="237"/>
      <c r="E6" s="237"/>
      <c r="F6" s="237"/>
      <c r="G6" s="238"/>
    </row>
    <row r="7" spans="1:17" s="43" customFormat="1">
      <c r="A7" s="151" t="s">
        <v>6</v>
      </c>
      <c r="B7" s="239" t="s">
        <v>7</v>
      </c>
      <c r="C7" s="239"/>
      <c r="D7" s="239"/>
      <c r="E7" s="239"/>
      <c r="F7" s="239"/>
      <c r="G7" s="240"/>
    </row>
    <row r="8" spans="1:17" s="43" customFormat="1">
      <c r="A8" s="151" t="s">
        <v>8</v>
      </c>
      <c r="B8" s="227" t="s">
        <v>9</v>
      </c>
      <c r="C8" s="227"/>
      <c r="D8" s="227"/>
      <c r="E8" s="227"/>
      <c r="F8" s="227"/>
      <c r="G8" s="228"/>
    </row>
    <row r="9" spans="1:17" s="43" customFormat="1" ht="12.75" customHeight="1">
      <c r="A9" s="151" t="s">
        <v>10</v>
      </c>
      <c r="B9" s="242" t="s">
        <v>11</v>
      </c>
      <c r="C9" s="242"/>
      <c r="D9" s="242"/>
      <c r="E9" s="242"/>
      <c r="F9" s="242"/>
      <c r="G9" s="243"/>
      <c r="I9" s="43" t="s">
        <v>46</v>
      </c>
    </row>
    <row r="10" spans="1:17" s="43" customFormat="1" ht="44.85" customHeight="1">
      <c r="A10" s="244" t="s">
        <v>152</v>
      </c>
      <c r="B10" s="245"/>
      <c r="C10" s="245"/>
      <c r="D10" s="245"/>
      <c r="E10" s="245"/>
      <c r="F10" s="245"/>
      <c r="G10" s="246"/>
    </row>
    <row r="11" spans="1:17" s="43" customFormat="1" ht="12.75" customHeight="1">
      <c r="A11" s="140" t="s">
        <v>13</v>
      </c>
      <c r="B11" s="237" t="s">
        <v>14</v>
      </c>
      <c r="C11" s="237"/>
      <c r="D11" s="237"/>
      <c r="E11" s="237"/>
      <c r="F11" s="237"/>
      <c r="G11" s="238"/>
    </row>
    <row r="12" spans="1:17" s="43" customFormat="1" ht="12.75" customHeight="1">
      <c r="A12" s="150"/>
      <c r="B12" s="237"/>
      <c r="C12" s="237"/>
      <c r="D12" s="237"/>
      <c r="E12" s="237"/>
      <c r="F12" s="237"/>
      <c r="G12" s="238"/>
    </row>
    <row r="13" spans="1:17" s="43" customFormat="1" ht="12.75" customHeight="1">
      <c r="A13" s="151" t="s">
        <v>8</v>
      </c>
      <c r="B13" s="227" t="s">
        <v>15</v>
      </c>
      <c r="C13" s="227"/>
      <c r="D13" s="227"/>
      <c r="E13" s="227"/>
      <c r="F13" s="227"/>
      <c r="G13" s="228"/>
    </row>
    <row r="14" spans="1:17" s="43" customFormat="1" ht="12.75" customHeight="1" thickBot="1">
      <c r="A14" s="151" t="s">
        <v>16</v>
      </c>
      <c r="B14" s="247" t="s">
        <v>17</v>
      </c>
      <c r="C14" s="247"/>
      <c r="D14" s="247"/>
      <c r="E14" s="247"/>
      <c r="F14" s="247"/>
      <c r="G14" s="248"/>
    </row>
    <row r="15" spans="1:17" s="43" customFormat="1">
      <c r="A15" s="249" t="s">
        <v>153</v>
      </c>
      <c r="B15" s="250"/>
      <c r="C15" s="250"/>
      <c r="D15" s="250"/>
      <c r="E15" s="250"/>
      <c r="F15" s="250"/>
      <c r="G15" s="251"/>
    </row>
    <row r="16" spans="1:17" s="43" customFormat="1" ht="13.5" thickBot="1">
      <c r="A16" s="252" t="s">
        <v>135</v>
      </c>
      <c r="B16" s="253"/>
      <c r="C16" s="253"/>
      <c r="D16" s="253"/>
      <c r="E16" s="253"/>
      <c r="F16" s="253"/>
      <c r="G16" s="254"/>
    </row>
    <row r="17" spans="1:7" s="43" customFormat="1" ht="15" thickTop="1">
      <c r="A17" s="152" t="s">
        <v>124</v>
      </c>
      <c r="B17" s="56"/>
      <c r="C17" s="56"/>
      <c r="D17" s="56"/>
      <c r="E17" s="56"/>
      <c r="F17" s="56"/>
      <c r="G17" s="143"/>
    </row>
    <row r="18" spans="1:7" s="43" customFormat="1">
      <c r="A18" s="140" t="s">
        <v>20</v>
      </c>
      <c r="B18" s="56"/>
      <c r="C18" s="58"/>
      <c r="D18" s="59">
        <v>0</v>
      </c>
      <c r="E18" s="72" t="s">
        <v>77</v>
      </c>
      <c r="F18" s="61">
        <f>D18/43560</f>
        <v>0</v>
      </c>
      <c r="G18" s="153" t="s">
        <v>22</v>
      </c>
    </row>
    <row r="19" spans="1:7" s="43" customFormat="1">
      <c r="A19" s="154" t="s">
        <v>23</v>
      </c>
      <c r="B19" s="64">
        <v>0.9</v>
      </c>
      <c r="C19" s="65"/>
      <c r="D19" s="65"/>
      <c r="E19" s="65"/>
      <c r="F19" s="65"/>
      <c r="G19" s="155"/>
    </row>
    <row r="20" spans="1:7" s="43" customFormat="1">
      <c r="A20" s="140" t="s">
        <v>24</v>
      </c>
      <c r="B20" s="56"/>
      <c r="C20" s="56"/>
      <c r="D20" s="59">
        <v>0</v>
      </c>
      <c r="E20" s="72" t="s">
        <v>77</v>
      </c>
      <c r="F20" s="61">
        <f>D20/43560</f>
        <v>0</v>
      </c>
      <c r="G20" s="153" t="s">
        <v>22</v>
      </c>
    </row>
    <row r="21" spans="1:7" s="43" customFormat="1">
      <c r="A21" s="154" t="s">
        <v>25</v>
      </c>
      <c r="B21" s="64">
        <v>0.25</v>
      </c>
      <c r="C21" s="65"/>
      <c r="D21" s="65"/>
      <c r="E21" s="65"/>
      <c r="F21" s="65"/>
      <c r="G21" s="155"/>
    </row>
    <row r="22" spans="1:7" s="43" customFormat="1">
      <c r="A22" s="140" t="s">
        <v>26</v>
      </c>
      <c r="B22" s="56"/>
      <c r="C22" s="56"/>
      <c r="D22" s="123">
        <v>24255</v>
      </c>
      <c r="E22" s="72" t="s">
        <v>77</v>
      </c>
      <c r="F22" s="61">
        <f>D22/43560</f>
        <v>0.55681818181818177</v>
      </c>
      <c r="G22" s="153" t="s">
        <v>22</v>
      </c>
    </row>
    <row r="23" spans="1:7" s="43" customFormat="1">
      <c r="A23" s="154" t="s">
        <v>28</v>
      </c>
      <c r="B23" s="64">
        <v>0.15</v>
      </c>
      <c r="C23" s="65"/>
      <c r="D23" s="65"/>
      <c r="E23" s="65"/>
      <c r="F23" s="65"/>
      <c r="G23" s="155"/>
    </row>
    <row r="24" spans="1:7" s="43" customFormat="1">
      <c r="A24" s="140" t="s">
        <v>29</v>
      </c>
      <c r="B24" s="56"/>
      <c r="C24" s="56"/>
      <c r="D24" s="67">
        <f>D18+D20+D22</f>
        <v>24255</v>
      </c>
      <c r="E24" s="72" t="s">
        <v>77</v>
      </c>
      <c r="F24" s="61">
        <f>F18+F20+F22</f>
        <v>0.55681818181818177</v>
      </c>
      <c r="G24" s="153" t="s">
        <v>22</v>
      </c>
    </row>
    <row r="25" spans="1:7" s="43" customFormat="1" ht="14.25" customHeight="1">
      <c r="A25" s="154" t="s">
        <v>30</v>
      </c>
      <c r="B25" s="68">
        <f>(D18/D24*B19)+(D20/D24*B21)+(D22/D24*B23)</f>
        <v>0.15</v>
      </c>
      <c r="C25" s="69"/>
      <c r="D25" s="65"/>
      <c r="E25" s="70"/>
      <c r="F25" s="65"/>
      <c r="G25" s="155"/>
    </row>
    <row r="26" spans="1:7" s="43" customFormat="1">
      <c r="A26" s="156"/>
      <c r="B26" s="72"/>
      <c r="C26" s="56"/>
      <c r="D26" s="56"/>
      <c r="E26" s="56"/>
      <c r="F26" s="56"/>
      <c r="G26" s="143"/>
    </row>
    <row r="27" spans="1:7" s="43" customFormat="1">
      <c r="A27" s="140"/>
      <c r="B27" s="60"/>
      <c r="C27" s="72"/>
      <c r="D27" s="60"/>
      <c r="E27" s="72"/>
      <c r="F27" s="60"/>
      <c r="G27" s="153"/>
    </row>
    <row r="28" spans="1:7" s="43" customFormat="1">
      <c r="A28" s="140" t="s">
        <v>31</v>
      </c>
      <c r="B28" s="72"/>
      <c r="C28" s="72"/>
      <c r="D28" s="72"/>
      <c r="E28" s="72"/>
      <c r="F28" s="72"/>
      <c r="G28" s="153"/>
    </row>
    <row r="29" spans="1:7" s="43" customFormat="1">
      <c r="A29" s="140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157">
        <v>1</v>
      </c>
    </row>
    <row r="30" spans="1:7" s="43" customFormat="1">
      <c r="A30" s="144"/>
      <c r="B30" s="60" t="s">
        <v>30</v>
      </c>
      <c r="C30" s="76">
        <f>B25</f>
        <v>0.15</v>
      </c>
      <c r="D30" s="72" t="s">
        <v>36</v>
      </c>
      <c r="E30" s="56"/>
      <c r="F30" s="56"/>
      <c r="G30" s="143"/>
    </row>
    <row r="31" spans="1:7" s="43" customFormat="1">
      <c r="A31" s="144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143"/>
    </row>
    <row r="32" spans="1:7" s="43" customFormat="1" ht="12.75" customHeight="1">
      <c r="A32" s="140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143"/>
    </row>
    <row r="33" spans="1:17" s="43" customFormat="1" ht="25.5">
      <c r="A33" s="158" t="s">
        <v>42</v>
      </c>
      <c r="B33" s="60" t="s">
        <v>43</v>
      </c>
      <c r="C33" s="80">
        <f>3.14</f>
        <v>3.14</v>
      </c>
      <c r="D33" s="72" t="s">
        <v>44</v>
      </c>
      <c r="E33" s="56"/>
      <c r="F33" s="56"/>
      <c r="G33" s="143"/>
    </row>
    <row r="34" spans="1:17" s="43" customFormat="1" ht="13.5" thickBot="1">
      <c r="A34" s="144"/>
      <c r="B34" s="56"/>
      <c r="C34" s="56"/>
      <c r="D34" s="56"/>
      <c r="E34" s="56"/>
      <c r="F34" s="56"/>
      <c r="G34" s="56"/>
    </row>
    <row r="35" spans="1:17" s="43" customFormat="1" ht="15" thickBot="1">
      <c r="A35" s="159" t="s">
        <v>125</v>
      </c>
      <c r="B35" s="82">
        <f>F24*B25*C33</f>
        <v>0.2622613636363636</v>
      </c>
      <c r="C35" s="83" t="s">
        <v>45</v>
      </c>
      <c r="D35" s="255"/>
      <c r="E35" s="256"/>
      <c r="F35" s="92"/>
      <c r="G35" s="161"/>
    </row>
    <row r="36" spans="1:17" s="43" customFormat="1" ht="13.5" thickTop="1">
      <c r="A36" s="249" t="s">
        <v>48</v>
      </c>
      <c r="B36" s="250"/>
      <c r="C36" s="250"/>
      <c r="D36" s="250"/>
      <c r="E36" s="250"/>
      <c r="F36" s="250"/>
      <c r="G36" s="251"/>
    </row>
    <row r="37" spans="1:17" s="43" customFormat="1" ht="13.5" thickBot="1">
      <c r="A37" s="252" t="s">
        <v>60</v>
      </c>
      <c r="B37" s="253"/>
      <c r="C37" s="253"/>
      <c r="D37" s="253"/>
      <c r="E37" s="253"/>
      <c r="F37" s="253"/>
      <c r="G37" s="254"/>
    </row>
    <row r="38" spans="1:17" s="43" customFormat="1" ht="15.6" customHeight="1" thickTop="1">
      <c r="A38" s="152" t="s">
        <v>126</v>
      </c>
      <c r="B38" s="56"/>
      <c r="C38" s="56"/>
      <c r="D38" s="56"/>
      <c r="E38" s="56"/>
      <c r="F38" s="56"/>
      <c r="G38" s="143"/>
    </row>
    <row r="39" spans="1:17" s="43" customFormat="1" ht="13.35" customHeight="1">
      <c r="A39" s="140" t="s">
        <v>20</v>
      </c>
      <c r="B39" s="56"/>
      <c r="C39" s="58"/>
      <c r="D39" s="59">
        <v>21110</v>
      </c>
      <c r="E39" s="72" t="s">
        <v>77</v>
      </c>
      <c r="F39" s="61">
        <f>D39/43560</f>
        <v>0.48461891643709826</v>
      </c>
      <c r="G39" s="153" t="s">
        <v>22</v>
      </c>
    </row>
    <row r="40" spans="1:17" s="43" customFormat="1" ht="12.75" customHeight="1">
      <c r="A40" s="154" t="s">
        <v>23</v>
      </c>
      <c r="B40" s="64">
        <v>0.9</v>
      </c>
      <c r="C40" s="65"/>
      <c r="D40" s="65"/>
      <c r="E40" s="65"/>
      <c r="F40" s="65"/>
      <c r="G40" s="155"/>
    </row>
    <row r="41" spans="1:17" s="43" customFormat="1" ht="12.75" customHeight="1">
      <c r="A41" s="140" t="s">
        <v>24</v>
      </c>
      <c r="B41" s="56"/>
      <c r="C41" s="56"/>
      <c r="D41" s="59">
        <v>0</v>
      </c>
      <c r="E41" s="72" t="s">
        <v>77</v>
      </c>
      <c r="F41" s="61">
        <f>D41/43560</f>
        <v>0</v>
      </c>
      <c r="G41" s="153" t="s">
        <v>22</v>
      </c>
    </row>
    <row r="42" spans="1:17" s="43" customFormat="1" ht="12.75" customHeight="1">
      <c r="A42" s="154" t="s">
        <v>25</v>
      </c>
      <c r="B42" s="64">
        <v>0.25</v>
      </c>
      <c r="C42" s="65"/>
      <c r="D42" s="65"/>
      <c r="E42" s="65"/>
      <c r="F42" s="65"/>
      <c r="G42" s="155"/>
    </row>
    <row r="43" spans="1:17" s="43" customFormat="1">
      <c r="A43" s="140" t="s">
        <v>26</v>
      </c>
      <c r="B43" s="56"/>
      <c r="C43" s="56"/>
      <c r="D43" s="88">
        <v>3145</v>
      </c>
      <c r="E43" s="72" t="s">
        <v>77</v>
      </c>
      <c r="F43" s="61">
        <f>D43/43560</f>
        <v>7.2199265381083566E-2</v>
      </c>
      <c r="G43" s="153" t="s">
        <v>22</v>
      </c>
    </row>
    <row r="44" spans="1:17" s="43" customFormat="1">
      <c r="A44" s="154" t="s">
        <v>28</v>
      </c>
      <c r="B44" s="64">
        <v>0.15</v>
      </c>
      <c r="C44" s="65"/>
      <c r="D44" s="65"/>
      <c r="E44" s="65"/>
      <c r="F44" s="65"/>
      <c r="G44" s="155"/>
      <c r="H44" s="46"/>
      <c r="I44" s="46"/>
      <c r="J44" s="46"/>
    </row>
    <row r="45" spans="1:17" s="43" customFormat="1">
      <c r="A45" s="140" t="s">
        <v>29</v>
      </c>
      <c r="B45" s="56"/>
      <c r="C45" s="56"/>
      <c r="D45" s="67">
        <f>D39+D41+D43</f>
        <v>24255</v>
      </c>
      <c r="E45" s="72" t="s">
        <v>77</v>
      </c>
      <c r="F45" s="61">
        <f>F39+F41+F43</f>
        <v>0.55681818181818188</v>
      </c>
      <c r="G45" s="153" t="s">
        <v>22</v>
      </c>
      <c r="H45" s="56"/>
      <c r="I45" s="46"/>
      <c r="J45" s="46"/>
    </row>
    <row r="46" spans="1:17" s="43" customFormat="1">
      <c r="A46" s="154" t="s">
        <v>30</v>
      </c>
      <c r="B46" s="68">
        <f>(D39/D45*B40)+(D41/D45*B42)+(D43/D45*B44)</f>
        <v>0.80275200989486706</v>
      </c>
      <c r="C46" s="69"/>
      <c r="D46" s="65"/>
      <c r="E46" s="70"/>
      <c r="F46" s="65"/>
      <c r="G46" s="155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156"/>
      <c r="B47" s="72"/>
      <c r="C47" s="56"/>
      <c r="D47" s="56"/>
      <c r="E47" s="56"/>
      <c r="F47" s="56"/>
      <c r="G47" s="143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140"/>
      <c r="B48" s="60"/>
      <c r="C48" s="72"/>
      <c r="D48" s="60"/>
      <c r="E48" s="72"/>
      <c r="F48" s="60"/>
      <c r="G48" s="153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140" t="s">
        <v>31</v>
      </c>
      <c r="B49" s="72"/>
      <c r="C49" s="72"/>
      <c r="D49" s="72"/>
      <c r="E49" s="72"/>
      <c r="F49" s="72"/>
      <c r="G49" s="153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140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157">
        <v>1.2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144"/>
      <c r="B51" s="60" t="s">
        <v>30</v>
      </c>
      <c r="C51" s="76">
        <f>B46</f>
        <v>0.80275200989486706</v>
      </c>
      <c r="D51" s="72" t="s">
        <v>36</v>
      </c>
      <c r="E51" s="56"/>
      <c r="F51" s="56"/>
      <c r="G51" s="143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144"/>
      <c r="B52" s="60" t="s">
        <v>37</v>
      </c>
      <c r="C52" s="77">
        <f>G50/C50*100</f>
        <v>0.70588235294117641</v>
      </c>
      <c r="D52" s="72" t="s">
        <v>38</v>
      </c>
      <c r="E52" s="56"/>
      <c r="F52" s="56"/>
      <c r="G52" s="143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140" t="s">
        <v>39</v>
      </c>
      <c r="B53" s="60" t="s">
        <v>40</v>
      </c>
      <c r="C53" s="76">
        <f>(C50^0.8*(1000/B46-9)^0.7)/1140*(C52^0.5)</f>
        <v>6.5525315476532464</v>
      </c>
      <c r="D53" s="72" t="s">
        <v>41</v>
      </c>
      <c r="E53" s="78"/>
      <c r="F53" s="72"/>
      <c r="G53" s="143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158" t="s">
        <v>42</v>
      </c>
      <c r="B54" s="60" t="s">
        <v>43</v>
      </c>
      <c r="C54" s="80">
        <f>3.14</f>
        <v>3.14</v>
      </c>
      <c r="D54" s="72" t="s">
        <v>44</v>
      </c>
      <c r="E54" s="56"/>
      <c r="F54" s="56"/>
      <c r="G54" s="143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 thickBot="1">
      <c r="A55" s="144"/>
      <c r="B55" s="56"/>
      <c r="C55" s="56"/>
      <c r="D55" s="56"/>
      <c r="E55" s="56"/>
      <c r="F55" s="56"/>
      <c r="G55" s="143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 thickBot="1">
      <c r="A56" s="159" t="s">
        <v>127</v>
      </c>
      <c r="B56" s="82">
        <f>F45*B46*C54</f>
        <v>1.4035389118457302</v>
      </c>
      <c r="C56" s="83" t="s">
        <v>45</v>
      </c>
      <c r="D56" s="84" t="s">
        <v>46</v>
      </c>
      <c r="E56" s="91"/>
      <c r="F56" s="92"/>
      <c r="G56" s="161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 ht="14.25" thickTop="1" thickBot="1">
      <c r="A57" s="285" t="s">
        <v>141</v>
      </c>
      <c r="B57" s="286"/>
      <c r="C57" s="286"/>
      <c r="D57" s="286"/>
      <c r="E57" s="286"/>
      <c r="F57" s="286"/>
      <c r="G57" s="287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5" thickTop="1">
      <c r="A58" s="162" t="s">
        <v>136</v>
      </c>
      <c r="B58" s="56"/>
      <c r="C58" s="95">
        <f>1.25</f>
        <v>1.25</v>
      </c>
      <c r="D58" s="72" t="s">
        <v>137</v>
      </c>
      <c r="E58" s="46"/>
      <c r="F58" s="56"/>
      <c r="G58" s="143"/>
    </row>
    <row r="59" spans="1:17" s="43" customFormat="1" ht="13.5" thickBot="1">
      <c r="A59" s="163" t="s">
        <v>143</v>
      </c>
      <c r="B59" s="126"/>
      <c r="C59" s="130">
        <f>(1.25/12)*D39</f>
        <v>2198.9583333333335</v>
      </c>
      <c r="D59" s="127" t="s">
        <v>148</v>
      </c>
      <c r="E59" s="133">
        <f>C59*7.48</f>
        <v>16448.208333333336</v>
      </c>
      <c r="F59" s="46" t="s">
        <v>149</v>
      </c>
      <c r="G59" s="146"/>
    </row>
    <row r="60" spans="1:17" s="43" customFormat="1" ht="13.5" thickBot="1">
      <c r="A60" s="311" t="s">
        <v>145</v>
      </c>
      <c r="B60" s="312"/>
      <c r="C60" s="312"/>
      <c r="D60" s="312"/>
      <c r="E60" s="312"/>
      <c r="F60" s="312"/>
      <c r="G60" s="313"/>
    </row>
    <row r="61" spans="1:17" s="43" customFormat="1" ht="14.25" thickTop="1" thickBot="1">
      <c r="A61" s="164" t="s">
        <v>146</v>
      </c>
      <c r="B61" s="126"/>
      <c r="C61" s="132">
        <f>B56</f>
        <v>1.4035389118457302</v>
      </c>
      <c r="D61" s="127" t="s">
        <v>51</v>
      </c>
      <c r="E61" s="131"/>
      <c r="F61" s="126"/>
      <c r="G61" s="146"/>
    </row>
    <row r="62" spans="1:17" s="43" customFormat="1" ht="13.5" thickBot="1">
      <c r="A62" s="311" t="s">
        <v>142</v>
      </c>
      <c r="B62" s="312"/>
      <c r="C62" s="312"/>
      <c r="D62" s="312"/>
      <c r="E62" s="312"/>
      <c r="F62" s="312"/>
      <c r="G62" s="313"/>
    </row>
    <row r="63" spans="1:17" s="43" customFormat="1" ht="13.5" thickTop="1">
      <c r="A63" s="138" t="s">
        <v>156</v>
      </c>
      <c r="B63" s="89"/>
      <c r="C63" s="174">
        <f>B56</f>
        <v>1.4035389118457302</v>
      </c>
      <c r="D63" s="72" t="s">
        <v>51</v>
      </c>
      <c r="E63" s="89"/>
      <c r="F63" s="89"/>
      <c r="G63" s="139"/>
    </row>
    <row r="64" spans="1:17" s="43" customFormat="1">
      <c r="A64" s="140" t="s">
        <v>157</v>
      </c>
      <c r="B64" s="89"/>
      <c r="C64" s="174">
        <f>C61-C63</f>
        <v>0</v>
      </c>
      <c r="D64" s="72" t="s">
        <v>51</v>
      </c>
      <c r="E64" s="89"/>
      <c r="F64" s="89"/>
      <c r="G64" s="139"/>
    </row>
    <row r="65" spans="1:7" s="43" customFormat="1">
      <c r="A65" s="141" t="s">
        <v>147</v>
      </c>
      <c r="B65" s="135"/>
      <c r="C65" s="175">
        <f>C64*60*60*24</f>
        <v>0</v>
      </c>
      <c r="D65" s="134" t="s">
        <v>148</v>
      </c>
      <c r="E65" s="136">
        <f>C65*7.48</f>
        <v>0</v>
      </c>
      <c r="F65" s="137" t="s">
        <v>149</v>
      </c>
      <c r="G65" s="142"/>
    </row>
    <row r="66" spans="1:7" s="43" customFormat="1">
      <c r="A66" s="140"/>
      <c r="B66" s="317" t="s">
        <v>151</v>
      </c>
      <c r="C66" s="318"/>
      <c r="D66" s="72" t="s">
        <v>55</v>
      </c>
      <c r="E66" s="59">
        <v>42</v>
      </c>
      <c r="F66" s="72" t="s">
        <v>56</v>
      </c>
      <c r="G66" s="143"/>
    </row>
    <row r="67" spans="1:7" s="43" customFormat="1">
      <c r="A67" s="144"/>
      <c r="B67" s="56"/>
      <c r="C67" s="56"/>
      <c r="D67" s="72" t="s">
        <v>57</v>
      </c>
      <c r="E67" s="59">
        <v>156</v>
      </c>
      <c r="F67" s="72" t="s">
        <v>56</v>
      </c>
      <c r="G67" s="143"/>
    </row>
    <row r="68" spans="1:7" s="43" customFormat="1" ht="13.5" thickBot="1">
      <c r="A68" s="145"/>
      <c r="B68" s="126"/>
      <c r="C68" s="126"/>
      <c r="D68" s="127" t="s">
        <v>58</v>
      </c>
      <c r="E68" s="128">
        <f>C65/E66/E67</f>
        <v>0</v>
      </c>
      <c r="F68" s="129" t="s">
        <v>56</v>
      </c>
      <c r="G68" s="146"/>
    </row>
    <row r="69" spans="1:7" s="43" customFormat="1" ht="13.5" thickBot="1">
      <c r="A69" s="144"/>
      <c r="B69" s="56"/>
      <c r="C69" s="56"/>
      <c r="D69" s="72"/>
      <c r="E69" s="125"/>
      <c r="F69" s="124"/>
      <c r="G69" s="143"/>
    </row>
    <row r="70" spans="1:7" s="43" customFormat="1" ht="40.35" customHeight="1" thickTop="1">
      <c r="A70" s="319" t="s">
        <v>155</v>
      </c>
      <c r="B70" s="302"/>
      <c r="C70" s="302"/>
      <c r="D70" s="302"/>
      <c r="E70" s="302"/>
      <c r="F70" s="302"/>
      <c r="G70" s="320"/>
    </row>
    <row r="71" spans="1:7" s="43" customFormat="1" ht="13.35" customHeight="1">
      <c r="A71" s="140" t="s">
        <v>138</v>
      </c>
      <c r="B71" s="237" t="s">
        <v>63</v>
      </c>
      <c r="C71" s="237"/>
      <c r="D71" s="237"/>
      <c r="E71" s="237"/>
      <c r="F71" s="237"/>
      <c r="G71" s="238"/>
    </row>
    <row r="72" spans="1:7" s="43" customFormat="1">
      <c r="A72" s="151" t="s">
        <v>139</v>
      </c>
      <c r="B72" s="105" t="s">
        <v>65</v>
      </c>
      <c r="C72" s="105"/>
      <c r="D72" s="105"/>
      <c r="E72" s="106"/>
      <c r="F72" s="106"/>
      <c r="G72" s="165"/>
    </row>
    <row r="73" spans="1:7" s="43" customFormat="1" ht="13.35" customHeight="1">
      <c r="A73" s="151" t="s">
        <v>140</v>
      </c>
      <c r="B73" s="242" t="s">
        <v>66</v>
      </c>
      <c r="C73" s="242"/>
      <c r="D73" s="242"/>
      <c r="E73" s="242"/>
      <c r="F73" s="242"/>
      <c r="G73" s="243"/>
    </row>
    <row r="74" spans="1:7" s="43" customFormat="1">
      <c r="A74" s="166" t="s">
        <v>67</v>
      </c>
      <c r="B74" s="106" t="s">
        <v>68</v>
      </c>
      <c r="C74" s="106"/>
      <c r="D74" s="106"/>
      <c r="E74" s="106"/>
      <c r="F74" s="106"/>
      <c r="G74" s="165"/>
    </row>
    <row r="75" spans="1:7" s="43" customFormat="1" ht="13.5" customHeight="1" thickBot="1">
      <c r="A75" s="167" t="s">
        <v>69</v>
      </c>
      <c r="B75" s="110" t="s">
        <v>70</v>
      </c>
      <c r="C75" s="110"/>
      <c r="D75" s="110"/>
      <c r="E75" s="110"/>
      <c r="F75" s="110"/>
      <c r="G75" s="168"/>
    </row>
    <row r="76" spans="1:7" s="43" customFormat="1">
      <c r="A76" s="314" t="s">
        <v>71</v>
      </c>
      <c r="B76" s="315"/>
      <c r="C76" s="315"/>
      <c r="D76" s="315"/>
      <c r="E76" s="315"/>
      <c r="F76" s="315"/>
      <c r="G76" s="316"/>
    </row>
    <row r="77" spans="1:7" s="43" customFormat="1">
      <c r="A77" s="156" t="s">
        <v>150</v>
      </c>
      <c r="B77" s="95">
        <f>C63</f>
        <v>1.4035389118457302</v>
      </c>
      <c r="C77" s="72" t="s">
        <v>45</v>
      </c>
      <c r="D77" s="60" t="s">
        <v>73</v>
      </c>
      <c r="E77" s="59">
        <v>0.25</v>
      </c>
      <c r="F77" s="72" t="s">
        <v>74</v>
      </c>
      <c r="G77" s="143"/>
    </row>
    <row r="78" spans="1:7" s="43" customFormat="1">
      <c r="A78" s="156" t="s">
        <v>30</v>
      </c>
      <c r="B78" s="113">
        <v>0.62</v>
      </c>
      <c r="C78" s="72" t="s">
        <v>75</v>
      </c>
      <c r="D78" s="60" t="s">
        <v>76</v>
      </c>
      <c r="E78" s="114">
        <f>B77/(B78*(2*B79*E77)^0.5)</f>
        <v>0.56453353554696117</v>
      </c>
      <c r="F78" s="72" t="s">
        <v>77</v>
      </c>
      <c r="G78" s="143"/>
    </row>
    <row r="79" spans="1:7" s="43" customFormat="1">
      <c r="A79" s="156" t="s">
        <v>78</v>
      </c>
      <c r="B79" s="113">
        <v>32.159999999999997</v>
      </c>
      <c r="C79" s="72" t="s">
        <v>79</v>
      </c>
      <c r="D79" s="46"/>
      <c r="E79" s="46"/>
      <c r="F79" s="56"/>
      <c r="G79" s="143"/>
    </row>
    <row r="80" spans="1:7" s="43" customFormat="1" ht="13.5" thickBot="1">
      <c r="A80" s="144"/>
      <c r="B80" s="56"/>
      <c r="C80" s="56"/>
      <c r="D80" s="56"/>
      <c r="E80" s="56"/>
      <c r="F80" s="56"/>
      <c r="G80" s="143"/>
    </row>
    <row r="81" spans="1:7" s="43" customFormat="1" ht="13.5" thickBot="1">
      <c r="A81" s="169" t="s">
        <v>80</v>
      </c>
      <c r="B81" s="116"/>
      <c r="C81" s="116"/>
      <c r="D81" s="117">
        <f>((E78/PI())^0.5)*2*12</f>
        <v>10.173752736203413</v>
      </c>
      <c r="E81" s="118" t="s">
        <v>81</v>
      </c>
      <c r="F81" s="116"/>
      <c r="G81" s="170"/>
    </row>
    <row r="82" spans="1:7" s="43" customFormat="1" ht="13.5" thickTop="1">
      <c r="A82" s="171" t="s">
        <v>82</v>
      </c>
      <c r="B82" s="50"/>
      <c r="C82" s="50"/>
      <c r="D82" s="50"/>
      <c r="E82" s="50"/>
      <c r="F82" s="50"/>
      <c r="G82" s="149"/>
    </row>
    <row r="83" spans="1:7" s="43" customFormat="1" ht="13.35" customHeight="1">
      <c r="A83" s="291" t="s">
        <v>129</v>
      </c>
      <c r="B83" s="292"/>
      <c r="C83" s="292"/>
      <c r="D83" s="292"/>
      <c r="E83" s="292"/>
      <c r="F83" s="292"/>
      <c r="G83" s="293"/>
    </row>
    <row r="84" spans="1:7" s="43" customFormat="1" ht="13.35" customHeight="1">
      <c r="A84" s="291" t="s">
        <v>130</v>
      </c>
      <c r="B84" s="292"/>
      <c r="C84" s="292"/>
      <c r="D84" s="292"/>
      <c r="E84" s="292"/>
      <c r="F84" s="292"/>
      <c r="G84" s="293"/>
    </row>
    <row r="85" spans="1:7" s="43" customFormat="1">
      <c r="A85" s="172" t="s">
        <v>131</v>
      </c>
      <c r="B85" s="46"/>
      <c r="C85" s="46"/>
      <c r="D85" s="46"/>
      <c r="E85" s="46"/>
      <c r="F85" s="46"/>
      <c r="G85" s="173"/>
    </row>
    <row r="86" spans="1:7" s="43" customFormat="1" ht="13.35" customHeight="1">
      <c r="A86" s="291" t="s">
        <v>132</v>
      </c>
      <c r="B86" s="292"/>
      <c r="C86" s="292"/>
      <c r="D86" s="292"/>
      <c r="E86" s="292"/>
      <c r="F86" s="292"/>
      <c r="G86" s="293"/>
    </row>
    <row r="87" spans="1:7" s="43" customFormat="1" ht="13.35" customHeight="1" thickBot="1">
      <c r="A87" s="294" t="s">
        <v>133</v>
      </c>
      <c r="B87" s="295"/>
      <c r="C87" s="295"/>
      <c r="D87" s="295"/>
      <c r="E87" s="295"/>
      <c r="F87" s="295"/>
      <c r="G87" s="296"/>
    </row>
  </sheetData>
  <mergeCells count="28">
    <mergeCell ref="B8:G8"/>
    <mergeCell ref="B1:G1"/>
    <mergeCell ref="A2:G2"/>
    <mergeCell ref="A4:G4"/>
    <mergeCell ref="B5:G6"/>
    <mergeCell ref="B7:G7"/>
    <mergeCell ref="A60:G60"/>
    <mergeCell ref="B9:G9"/>
    <mergeCell ref="A10:G10"/>
    <mergeCell ref="B11:G12"/>
    <mergeCell ref="B13:G13"/>
    <mergeCell ref="B14:G14"/>
    <mergeCell ref="A15:G15"/>
    <mergeCell ref="A16:G16"/>
    <mergeCell ref="D35:E35"/>
    <mergeCell ref="A36:G36"/>
    <mergeCell ref="A37:G37"/>
    <mergeCell ref="A57:G57"/>
    <mergeCell ref="A83:G83"/>
    <mergeCell ref="A84:G84"/>
    <mergeCell ref="A86:G86"/>
    <mergeCell ref="A87:G87"/>
    <mergeCell ref="A62:G62"/>
    <mergeCell ref="B66:C66"/>
    <mergeCell ref="A70:G70"/>
    <mergeCell ref="B71:G71"/>
    <mergeCell ref="B73:G73"/>
    <mergeCell ref="A76:G76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3" scale="89" firstPageNumber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opLeftCell="A25" workbookViewId="0">
      <selection activeCell="A60" sqref="A60"/>
    </sheetView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s="43" customFormat="1" ht="18.75">
      <c r="A1" s="44" t="s">
        <v>0</v>
      </c>
      <c r="B1" s="321" t="s">
        <v>134</v>
      </c>
      <c r="C1" s="321"/>
      <c r="D1" s="321"/>
      <c r="E1" s="321"/>
      <c r="F1" s="321"/>
      <c r="G1" s="321"/>
      <c r="H1" s="45"/>
      <c r="I1" s="46"/>
      <c r="J1" s="47"/>
      <c r="K1" s="46"/>
      <c r="L1" s="46"/>
      <c r="M1" s="46"/>
      <c r="N1" s="46"/>
      <c r="O1" s="46"/>
      <c r="P1" s="46"/>
      <c r="Q1" s="46"/>
    </row>
    <row r="2" spans="1:17" s="43" customFormat="1">
      <c r="A2" s="232" t="s">
        <v>1</v>
      </c>
      <c r="B2" s="232"/>
      <c r="C2" s="232"/>
      <c r="D2" s="232"/>
      <c r="E2" s="232"/>
      <c r="F2" s="232"/>
      <c r="G2" s="232"/>
    </row>
    <row r="3" spans="1:17" s="43" customFormat="1">
      <c r="A3" s="48" t="s">
        <v>2</v>
      </c>
      <c r="B3" s="49"/>
      <c r="C3" s="49"/>
      <c r="D3" s="49"/>
      <c r="E3" s="50"/>
      <c r="F3" s="50"/>
      <c r="G3" s="51"/>
    </row>
    <row r="4" spans="1:17" s="43" customFormat="1" ht="20.25" customHeight="1">
      <c r="A4" s="235" t="s">
        <v>3</v>
      </c>
      <c r="B4" s="235"/>
      <c r="C4" s="235"/>
      <c r="D4" s="235"/>
      <c r="E4" s="235"/>
      <c r="F4" s="235"/>
      <c r="G4" s="235"/>
    </row>
    <row r="5" spans="1:17" s="43" customFormat="1" ht="12.75" customHeight="1">
      <c r="A5" s="52" t="s">
        <v>4</v>
      </c>
      <c r="B5" s="237" t="s">
        <v>5</v>
      </c>
      <c r="C5" s="237"/>
      <c r="D5" s="237"/>
      <c r="E5" s="237"/>
      <c r="F5" s="237"/>
      <c r="G5" s="237"/>
    </row>
    <row r="6" spans="1:17" s="43" customFormat="1">
      <c r="A6" s="53"/>
      <c r="B6" s="237"/>
      <c r="C6" s="237"/>
      <c r="D6" s="237"/>
      <c r="E6" s="237"/>
      <c r="F6" s="237"/>
      <c r="G6" s="237"/>
    </row>
    <row r="7" spans="1:17" s="43" customFormat="1">
      <c r="A7" s="54" t="s">
        <v>6</v>
      </c>
      <c r="B7" s="239" t="s">
        <v>7</v>
      </c>
      <c r="C7" s="239"/>
      <c r="D7" s="239"/>
      <c r="E7" s="239"/>
      <c r="F7" s="239"/>
      <c r="G7" s="239"/>
    </row>
    <row r="8" spans="1:17" s="43" customFormat="1">
      <c r="A8" s="54" t="s">
        <v>8</v>
      </c>
      <c r="B8" s="227" t="s">
        <v>9</v>
      </c>
      <c r="C8" s="227"/>
      <c r="D8" s="227"/>
      <c r="E8" s="227"/>
      <c r="F8" s="227"/>
      <c r="G8" s="227"/>
    </row>
    <row r="9" spans="1:17" s="43" customFormat="1" ht="12.75" customHeight="1">
      <c r="A9" s="54" t="s">
        <v>10</v>
      </c>
      <c r="B9" s="242" t="s">
        <v>11</v>
      </c>
      <c r="C9" s="242"/>
      <c r="D9" s="242"/>
      <c r="E9" s="242"/>
      <c r="F9" s="242"/>
      <c r="G9" s="242"/>
      <c r="I9" s="43" t="s">
        <v>46</v>
      </c>
    </row>
    <row r="10" spans="1:17" s="43" customFormat="1" ht="44.85" customHeight="1">
      <c r="A10" s="245" t="s">
        <v>12</v>
      </c>
      <c r="B10" s="245"/>
      <c r="C10" s="245"/>
      <c r="D10" s="245"/>
      <c r="E10" s="245"/>
      <c r="F10" s="245"/>
      <c r="G10" s="245"/>
    </row>
    <row r="11" spans="1:17" s="43" customFormat="1" ht="12.75" customHeight="1">
      <c r="A11" s="52" t="s">
        <v>13</v>
      </c>
      <c r="B11" s="237" t="s">
        <v>14</v>
      </c>
      <c r="C11" s="237"/>
      <c r="D11" s="237"/>
      <c r="E11" s="237"/>
      <c r="F11" s="237"/>
      <c r="G11" s="237"/>
    </row>
    <row r="12" spans="1:17" s="43" customFormat="1" ht="12.75" customHeight="1">
      <c r="A12" s="53"/>
      <c r="B12" s="237"/>
      <c r="C12" s="237"/>
      <c r="D12" s="237"/>
      <c r="E12" s="237"/>
      <c r="F12" s="237"/>
      <c r="G12" s="237"/>
    </row>
    <row r="13" spans="1:17" s="43" customFormat="1" ht="12.75" customHeight="1">
      <c r="A13" s="54" t="s">
        <v>8</v>
      </c>
      <c r="B13" s="227" t="s">
        <v>15</v>
      </c>
      <c r="C13" s="227"/>
      <c r="D13" s="227"/>
      <c r="E13" s="227"/>
      <c r="F13" s="227"/>
      <c r="G13" s="227"/>
    </row>
    <row r="14" spans="1:17" s="43" customFormat="1" ht="12.75" customHeight="1">
      <c r="A14" s="54" t="s">
        <v>16</v>
      </c>
      <c r="B14" s="247" t="s">
        <v>17</v>
      </c>
      <c r="C14" s="247"/>
      <c r="D14" s="247"/>
      <c r="E14" s="247"/>
      <c r="F14" s="247"/>
      <c r="G14" s="247"/>
    </row>
    <row r="15" spans="1:17" s="43" customFormat="1">
      <c r="A15" s="250" t="s">
        <v>18</v>
      </c>
      <c r="B15" s="250"/>
      <c r="C15" s="250"/>
      <c r="D15" s="250"/>
      <c r="E15" s="250"/>
      <c r="F15" s="250"/>
      <c r="G15" s="250"/>
    </row>
    <row r="16" spans="1:17" s="43" customFormat="1">
      <c r="A16" s="253" t="s">
        <v>19</v>
      </c>
      <c r="B16" s="253"/>
      <c r="C16" s="253"/>
      <c r="D16" s="253"/>
      <c r="E16" s="253"/>
      <c r="F16" s="253"/>
      <c r="G16" s="253"/>
    </row>
    <row r="17" spans="1:7" s="43" customFormat="1" ht="14.25">
      <c r="A17" s="55" t="s">
        <v>124</v>
      </c>
      <c r="B17" s="56"/>
      <c r="C17" s="56"/>
      <c r="D17" s="56"/>
      <c r="E17" s="56"/>
      <c r="F17" s="56"/>
      <c r="G17" s="57"/>
    </row>
    <row r="18" spans="1:7" s="43" customFormat="1">
      <c r="A18" s="52" t="s">
        <v>20</v>
      </c>
      <c r="B18" s="56"/>
      <c r="C18" s="58"/>
      <c r="D18" s="59">
        <v>0</v>
      </c>
      <c r="E18" s="60" t="s">
        <v>21</v>
      </c>
      <c r="F18" s="61">
        <f>D18/43560</f>
        <v>0</v>
      </c>
      <c r="G18" s="62" t="s">
        <v>22</v>
      </c>
    </row>
    <row r="19" spans="1:7" s="43" customFormat="1">
      <c r="A19" s="63" t="s">
        <v>23</v>
      </c>
      <c r="B19" s="64">
        <v>0.9</v>
      </c>
      <c r="C19" s="65"/>
      <c r="D19" s="65"/>
      <c r="E19" s="65"/>
      <c r="F19" s="65"/>
      <c r="G19" s="66"/>
    </row>
    <row r="20" spans="1:7" s="43" customFormat="1">
      <c r="A20" s="52" t="s">
        <v>24</v>
      </c>
      <c r="B20" s="56"/>
      <c r="C20" s="56"/>
      <c r="D20" s="59">
        <v>0</v>
      </c>
      <c r="E20" s="60" t="s">
        <v>21</v>
      </c>
      <c r="F20" s="61">
        <f>D20/43560</f>
        <v>0</v>
      </c>
      <c r="G20" s="62" t="s">
        <v>22</v>
      </c>
    </row>
    <row r="21" spans="1:7" s="43" customFormat="1">
      <c r="A21" s="63" t="s">
        <v>25</v>
      </c>
      <c r="B21" s="64">
        <v>0.25</v>
      </c>
      <c r="C21" s="65"/>
      <c r="D21" s="65"/>
      <c r="E21" s="65"/>
      <c r="F21" s="65"/>
      <c r="G21" s="66"/>
    </row>
    <row r="22" spans="1:7" s="43" customFormat="1">
      <c r="A22" s="52" t="s">
        <v>26</v>
      </c>
      <c r="B22" s="56"/>
      <c r="C22" s="56"/>
      <c r="D22" s="123">
        <v>24255</v>
      </c>
      <c r="E22" s="60" t="s">
        <v>27</v>
      </c>
      <c r="F22" s="61">
        <f>D22/43560</f>
        <v>0.55681818181818177</v>
      </c>
      <c r="G22" s="62" t="s">
        <v>22</v>
      </c>
    </row>
    <row r="23" spans="1:7" s="43" customFormat="1">
      <c r="A23" s="63" t="s">
        <v>28</v>
      </c>
      <c r="B23" s="64">
        <v>0.15</v>
      </c>
      <c r="C23" s="65"/>
      <c r="D23" s="65"/>
      <c r="E23" s="65"/>
      <c r="F23" s="65"/>
      <c r="G23" s="66"/>
    </row>
    <row r="24" spans="1:7" s="43" customFormat="1">
      <c r="A24" s="52" t="s">
        <v>29</v>
      </c>
      <c r="B24" s="56"/>
      <c r="C24" s="56"/>
      <c r="D24" s="67">
        <f>D18+D20+D22</f>
        <v>24255</v>
      </c>
      <c r="E24" s="60" t="s">
        <v>21</v>
      </c>
      <c r="F24" s="61">
        <f>F18+F20+F22</f>
        <v>0.55681818181818177</v>
      </c>
      <c r="G24" s="62" t="s">
        <v>22</v>
      </c>
    </row>
    <row r="25" spans="1:7" s="43" customFormat="1" ht="14.25" customHeight="1">
      <c r="A25" s="63" t="s">
        <v>30</v>
      </c>
      <c r="B25" s="68">
        <f>(D18/D24*B19)+(D20/D24*B21)+(D22/D24*B23)</f>
        <v>0.15</v>
      </c>
      <c r="C25" s="69"/>
      <c r="D25" s="65"/>
      <c r="E25" s="70"/>
      <c r="F25" s="65"/>
      <c r="G25" s="66"/>
    </row>
    <row r="26" spans="1:7" s="43" customFormat="1">
      <c r="A26" s="71"/>
      <c r="B26" s="72"/>
      <c r="C26" s="56"/>
      <c r="D26" s="56"/>
      <c r="E26" s="56"/>
      <c r="F26" s="56"/>
      <c r="G26" s="57"/>
    </row>
    <row r="27" spans="1:7" s="43" customFormat="1">
      <c r="A27" s="52"/>
      <c r="B27" s="60"/>
      <c r="C27" s="72"/>
      <c r="D27" s="60"/>
      <c r="E27" s="72"/>
      <c r="F27" s="60"/>
      <c r="G27" s="62"/>
    </row>
    <row r="28" spans="1:7" s="43" customFormat="1">
      <c r="A28" s="52" t="s">
        <v>31</v>
      </c>
      <c r="B28" s="72"/>
      <c r="C28" s="72"/>
      <c r="D28" s="72"/>
      <c r="E28" s="72"/>
      <c r="F28" s="72"/>
      <c r="G28" s="62"/>
    </row>
    <row r="29" spans="1:7" s="43" customFormat="1">
      <c r="A29" s="52" t="s">
        <v>32</v>
      </c>
      <c r="B29" s="60" t="s">
        <v>33</v>
      </c>
      <c r="C29" s="73">
        <v>191</v>
      </c>
      <c r="D29" s="72" t="s">
        <v>34</v>
      </c>
      <c r="E29" s="56"/>
      <c r="F29" s="72" t="s">
        <v>35</v>
      </c>
      <c r="G29" s="74">
        <v>1</v>
      </c>
    </row>
    <row r="30" spans="1:7" s="43" customFormat="1">
      <c r="A30" s="75"/>
      <c r="B30" s="60" t="s">
        <v>30</v>
      </c>
      <c r="C30" s="76">
        <f>B25</f>
        <v>0.15</v>
      </c>
      <c r="D30" s="72" t="s">
        <v>36</v>
      </c>
      <c r="E30" s="56"/>
      <c r="F30" s="56"/>
      <c r="G30" s="57"/>
    </row>
    <row r="31" spans="1:7" s="43" customFormat="1">
      <c r="A31" s="75"/>
      <c r="B31" s="60" t="s">
        <v>37</v>
      </c>
      <c r="C31" s="77">
        <f>G29/C29*100</f>
        <v>0.52356020942408377</v>
      </c>
      <c r="D31" s="72" t="s">
        <v>38</v>
      </c>
      <c r="E31" s="56"/>
      <c r="F31" s="56"/>
      <c r="G31" s="57"/>
    </row>
    <row r="32" spans="1:7" s="43" customFormat="1" ht="12.75" customHeight="1">
      <c r="A32" s="52" t="s">
        <v>39</v>
      </c>
      <c r="B32" s="60" t="s">
        <v>40</v>
      </c>
      <c r="C32" s="76">
        <f>(C29^0.8*(1000/B25-9)^0.7)/1140*(C31^0.5)</f>
        <v>20.124754536324751</v>
      </c>
      <c r="D32" s="72" t="s">
        <v>41</v>
      </c>
      <c r="E32" s="78"/>
      <c r="F32" s="72"/>
      <c r="G32" s="57"/>
    </row>
    <row r="33" spans="1:17" s="43" customFormat="1" ht="25.5">
      <c r="A33" s="79" t="s">
        <v>42</v>
      </c>
      <c r="B33" s="60" t="s">
        <v>43</v>
      </c>
      <c r="C33" s="80">
        <v>3.64</v>
      </c>
      <c r="D33" s="72" t="s">
        <v>44</v>
      </c>
      <c r="E33" s="56"/>
      <c r="F33" s="56"/>
      <c r="G33" s="57"/>
    </row>
    <row r="34" spans="1:17" s="43" customFormat="1">
      <c r="A34" s="75"/>
      <c r="B34" s="56"/>
      <c r="C34" s="56"/>
      <c r="D34" s="56"/>
      <c r="E34" s="56"/>
      <c r="F34" s="56"/>
      <c r="G34" s="57"/>
    </row>
    <row r="35" spans="1:17" s="43" customFormat="1" ht="14.25">
      <c r="A35" s="81" t="s">
        <v>125</v>
      </c>
      <c r="B35" s="82">
        <f>F24*B25*C33</f>
        <v>0.30402272727272722</v>
      </c>
      <c r="C35" s="83" t="s">
        <v>45</v>
      </c>
      <c r="D35" s="84" t="s">
        <v>46</v>
      </c>
      <c r="E35" s="85" t="s">
        <v>47</v>
      </c>
      <c r="F35" s="86">
        <f>B35*0.1</f>
        <v>3.0402272727272722E-2</v>
      </c>
      <c r="G35" s="87" t="s">
        <v>45</v>
      </c>
    </row>
    <row r="36" spans="1:17" s="43" customFormat="1">
      <c r="A36" s="250" t="s">
        <v>48</v>
      </c>
      <c r="B36" s="250"/>
      <c r="C36" s="250"/>
      <c r="D36" s="250"/>
      <c r="E36" s="250"/>
      <c r="F36" s="250"/>
      <c r="G36" s="250"/>
    </row>
    <row r="37" spans="1:17" s="43" customFormat="1">
      <c r="A37" s="253" t="s">
        <v>19</v>
      </c>
      <c r="B37" s="253"/>
      <c r="C37" s="253"/>
      <c r="D37" s="253"/>
      <c r="E37" s="253"/>
      <c r="F37" s="253"/>
      <c r="G37" s="253"/>
    </row>
    <row r="38" spans="1:17" s="43" customFormat="1" ht="15.6" customHeight="1">
      <c r="A38" s="55" t="s">
        <v>126</v>
      </c>
      <c r="B38" s="56"/>
      <c r="C38" s="56"/>
      <c r="D38" s="56"/>
      <c r="E38" s="56"/>
      <c r="F38" s="56"/>
      <c r="G38" s="57"/>
    </row>
    <row r="39" spans="1:17" s="43" customFormat="1" ht="13.35" customHeight="1">
      <c r="A39" s="52" t="s">
        <v>20</v>
      </c>
      <c r="B39" s="56"/>
      <c r="C39" s="58"/>
      <c r="D39" s="59">
        <v>21110</v>
      </c>
      <c r="E39" s="60" t="s">
        <v>21</v>
      </c>
      <c r="F39" s="61">
        <f>D39/43560</f>
        <v>0.48461891643709826</v>
      </c>
      <c r="G39" s="62" t="s">
        <v>22</v>
      </c>
    </row>
    <row r="40" spans="1:17" s="43" customFormat="1" ht="12.75" customHeight="1">
      <c r="A40" s="63" t="s">
        <v>23</v>
      </c>
      <c r="B40" s="64">
        <v>0.9</v>
      </c>
      <c r="C40" s="65"/>
      <c r="D40" s="65"/>
      <c r="E40" s="65"/>
      <c r="F40" s="65"/>
      <c r="G40" s="66"/>
    </row>
    <row r="41" spans="1:17" s="43" customFormat="1" ht="12.75" customHeight="1">
      <c r="A41" s="52" t="s">
        <v>24</v>
      </c>
      <c r="B41" s="56"/>
      <c r="C41" s="56"/>
      <c r="D41" s="59">
        <v>0</v>
      </c>
      <c r="E41" s="60" t="s">
        <v>21</v>
      </c>
      <c r="F41" s="61">
        <f>D41/43560</f>
        <v>0</v>
      </c>
      <c r="G41" s="62" t="s">
        <v>22</v>
      </c>
    </row>
    <row r="42" spans="1:17" s="43" customFormat="1" ht="12.75" customHeight="1">
      <c r="A42" s="63" t="s">
        <v>25</v>
      </c>
      <c r="B42" s="64">
        <v>0.25</v>
      </c>
      <c r="C42" s="65"/>
      <c r="D42" s="65"/>
      <c r="E42" s="65"/>
      <c r="F42" s="65"/>
      <c r="G42" s="66"/>
    </row>
    <row r="43" spans="1:17" s="43" customFormat="1">
      <c r="A43" s="52" t="s">
        <v>26</v>
      </c>
      <c r="B43" s="56"/>
      <c r="C43" s="56"/>
      <c r="D43" s="88">
        <v>3145</v>
      </c>
      <c r="E43" s="60" t="s">
        <v>27</v>
      </c>
      <c r="F43" s="61">
        <f>D43/43560</f>
        <v>7.2199265381083566E-2</v>
      </c>
      <c r="G43" s="62" t="s">
        <v>22</v>
      </c>
    </row>
    <row r="44" spans="1:17" s="43" customFormat="1">
      <c r="A44" s="63" t="s">
        <v>28</v>
      </c>
      <c r="B44" s="64">
        <v>0.15</v>
      </c>
      <c r="C44" s="65"/>
      <c r="D44" s="65"/>
      <c r="E44" s="65"/>
      <c r="F44" s="65"/>
      <c r="G44" s="66"/>
      <c r="H44" s="46"/>
      <c r="I44" s="46"/>
      <c r="J44" s="46"/>
    </row>
    <row r="45" spans="1:17" s="43" customFormat="1">
      <c r="A45" s="52" t="s">
        <v>29</v>
      </c>
      <c r="B45" s="56"/>
      <c r="C45" s="56"/>
      <c r="D45" s="67">
        <f>D39+D41+D43</f>
        <v>24255</v>
      </c>
      <c r="E45" s="60" t="s">
        <v>21</v>
      </c>
      <c r="F45" s="61">
        <f>F39+F41+F43</f>
        <v>0.55681818181818188</v>
      </c>
      <c r="G45" s="62" t="s">
        <v>22</v>
      </c>
      <c r="H45" s="56"/>
      <c r="I45" s="46"/>
      <c r="J45" s="46"/>
    </row>
    <row r="46" spans="1:17" s="43" customFormat="1">
      <c r="A46" s="63" t="s">
        <v>30</v>
      </c>
      <c r="B46" s="68">
        <f>(D39/D45*B40)+(D41/D45*B42)+(D43/D45*B44)</f>
        <v>0.80275200989486706</v>
      </c>
      <c r="C46" s="69"/>
      <c r="D46" s="65"/>
      <c r="E46" s="70"/>
      <c r="F46" s="65"/>
      <c r="G46" s="66"/>
      <c r="H46" s="89"/>
      <c r="I46" s="90"/>
      <c r="J46" s="90"/>
      <c r="K46" s="46"/>
      <c r="L46" s="46"/>
      <c r="M46" s="46"/>
      <c r="N46" s="46"/>
      <c r="O46" s="46"/>
      <c r="P46" s="46"/>
      <c r="Q46" s="46"/>
    </row>
    <row r="47" spans="1:17" s="43" customFormat="1">
      <c r="A47" s="71"/>
      <c r="B47" s="72"/>
      <c r="C47" s="56"/>
      <c r="D47" s="56"/>
      <c r="E47" s="56"/>
      <c r="F47" s="56"/>
      <c r="G47" s="57"/>
      <c r="H47" s="56"/>
      <c r="I47" s="90"/>
      <c r="J47" s="90"/>
      <c r="K47" s="46"/>
      <c r="L47" s="46"/>
      <c r="M47" s="46"/>
      <c r="N47" s="46"/>
      <c r="O47" s="46"/>
      <c r="P47" s="46"/>
      <c r="Q47" s="46"/>
    </row>
    <row r="48" spans="1:17" s="43" customFormat="1">
      <c r="A48" s="52"/>
      <c r="B48" s="60"/>
      <c r="C48" s="72"/>
      <c r="D48" s="60"/>
      <c r="E48" s="72"/>
      <c r="F48" s="60"/>
      <c r="G48" s="62"/>
      <c r="H48" s="72"/>
      <c r="I48" s="90"/>
      <c r="J48" s="90"/>
      <c r="K48" s="46"/>
      <c r="L48" s="46"/>
      <c r="M48" s="46"/>
      <c r="N48" s="46"/>
      <c r="O48" s="46"/>
      <c r="P48" s="46"/>
      <c r="Q48" s="46"/>
    </row>
    <row r="49" spans="1:17" s="43" customFormat="1">
      <c r="A49" s="52" t="s">
        <v>31</v>
      </c>
      <c r="B49" s="72"/>
      <c r="C49" s="72"/>
      <c r="D49" s="72"/>
      <c r="E49" s="72"/>
      <c r="F49" s="72"/>
      <c r="G49" s="62"/>
      <c r="H49" s="56"/>
      <c r="I49" s="90"/>
      <c r="J49" s="90"/>
      <c r="K49" s="46"/>
      <c r="L49" s="46"/>
      <c r="M49" s="46"/>
      <c r="N49" s="46"/>
      <c r="O49" s="46"/>
      <c r="P49" s="46"/>
      <c r="Q49" s="46"/>
    </row>
    <row r="50" spans="1:17" s="43" customFormat="1">
      <c r="A50" s="52" t="s">
        <v>32</v>
      </c>
      <c r="B50" s="60" t="s">
        <v>33</v>
      </c>
      <c r="C50" s="73">
        <v>170</v>
      </c>
      <c r="D50" s="72" t="s">
        <v>34</v>
      </c>
      <c r="E50" s="56"/>
      <c r="F50" s="72" t="s">
        <v>35</v>
      </c>
      <c r="G50" s="74">
        <v>1.2</v>
      </c>
      <c r="H50" s="56"/>
      <c r="I50" s="90"/>
      <c r="J50" s="90"/>
      <c r="K50" s="46"/>
      <c r="L50" s="46"/>
      <c r="M50" s="46"/>
      <c r="N50" s="46"/>
      <c r="O50" s="46"/>
      <c r="P50" s="46"/>
      <c r="Q50" s="46"/>
    </row>
    <row r="51" spans="1:17" s="43" customFormat="1">
      <c r="A51" s="75"/>
      <c r="B51" s="60" t="s">
        <v>30</v>
      </c>
      <c r="C51" s="76">
        <f>B46</f>
        <v>0.80275200989486706</v>
      </c>
      <c r="D51" s="72" t="s">
        <v>36</v>
      </c>
      <c r="E51" s="56"/>
      <c r="F51" s="56"/>
      <c r="G51" s="57"/>
      <c r="H51" s="56"/>
      <c r="I51" s="90"/>
      <c r="J51" s="90"/>
      <c r="K51" s="46"/>
      <c r="L51" s="46"/>
      <c r="M51" s="46"/>
      <c r="N51" s="46"/>
      <c r="O51" s="46"/>
      <c r="P51" s="46"/>
      <c r="Q51" s="46"/>
    </row>
    <row r="52" spans="1:17" s="43" customFormat="1" ht="13.35" customHeight="1">
      <c r="A52" s="75"/>
      <c r="B52" s="60" t="s">
        <v>37</v>
      </c>
      <c r="C52" s="77">
        <f>G50/C50*100</f>
        <v>0.70588235294117641</v>
      </c>
      <c r="D52" s="72" t="s">
        <v>38</v>
      </c>
      <c r="E52" s="56"/>
      <c r="F52" s="56"/>
      <c r="G52" s="57"/>
      <c r="H52" s="56"/>
      <c r="I52" s="90"/>
      <c r="J52" s="90"/>
      <c r="K52" s="46"/>
      <c r="L52" s="46"/>
      <c r="M52" s="46"/>
      <c r="N52" s="46"/>
      <c r="O52" s="46"/>
      <c r="P52" s="46"/>
      <c r="Q52" s="46"/>
    </row>
    <row r="53" spans="1:17" s="43" customFormat="1" ht="12.75" customHeight="1">
      <c r="A53" s="52" t="s">
        <v>39</v>
      </c>
      <c r="B53" s="60" t="s">
        <v>40</v>
      </c>
      <c r="C53" s="76">
        <f>(C50^0.8*(1000/B46-9)^0.7)/1140*(C52^0.5)</f>
        <v>6.5525315476532464</v>
      </c>
      <c r="D53" s="72" t="s">
        <v>41</v>
      </c>
      <c r="E53" s="78"/>
      <c r="F53" s="72"/>
      <c r="G53" s="57"/>
      <c r="H53" s="56"/>
      <c r="I53" s="90"/>
      <c r="J53" s="90"/>
      <c r="K53" s="46"/>
      <c r="L53" s="46"/>
      <c r="M53" s="46"/>
      <c r="N53" s="46"/>
      <c r="O53" s="46"/>
      <c r="P53" s="46"/>
      <c r="Q53" s="46"/>
    </row>
    <row r="54" spans="1:17" s="43" customFormat="1" ht="25.35" customHeight="1">
      <c r="A54" s="79" t="s">
        <v>42</v>
      </c>
      <c r="B54" s="60" t="s">
        <v>43</v>
      </c>
      <c r="C54" s="80">
        <v>3.64</v>
      </c>
      <c r="D54" s="72" t="s">
        <v>44</v>
      </c>
      <c r="E54" s="56"/>
      <c r="F54" s="56"/>
      <c r="G54" s="57"/>
      <c r="H54" s="56"/>
      <c r="I54" s="90"/>
      <c r="J54" s="90"/>
      <c r="K54" s="46"/>
      <c r="L54" s="46"/>
      <c r="M54" s="46"/>
      <c r="N54" s="46"/>
      <c r="O54" s="46"/>
      <c r="P54" s="46"/>
      <c r="Q54" s="46"/>
    </row>
    <row r="55" spans="1:17" s="43" customFormat="1" ht="13.35" customHeight="1">
      <c r="A55" s="75"/>
      <c r="B55" s="56"/>
      <c r="C55" s="56"/>
      <c r="D55" s="56"/>
      <c r="E55" s="56"/>
      <c r="F55" s="56"/>
      <c r="G55" s="57"/>
      <c r="H55" s="56"/>
      <c r="I55" s="90"/>
      <c r="J55" s="90"/>
      <c r="K55" s="46"/>
      <c r="L55" s="46"/>
      <c r="M55" s="46"/>
      <c r="N55" s="46"/>
      <c r="O55" s="46"/>
      <c r="P55" s="46"/>
      <c r="Q55" s="46"/>
    </row>
    <row r="56" spans="1:17" s="43" customFormat="1" ht="13.35" customHeight="1">
      <c r="A56" s="81" t="s">
        <v>127</v>
      </c>
      <c r="B56" s="82">
        <f>F45*B46*C54</f>
        <v>1.6270323691460058</v>
      </c>
      <c r="C56" s="83" t="s">
        <v>45</v>
      </c>
      <c r="D56" s="84" t="s">
        <v>46</v>
      </c>
      <c r="E56" s="91"/>
      <c r="F56" s="92"/>
      <c r="G56" s="93"/>
      <c r="H56" s="56"/>
      <c r="I56" s="90"/>
      <c r="J56" s="90"/>
      <c r="K56" s="46"/>
      <c r="L56" s="46"/>
      <c r="M56" s="46"/>
      <c r="N56" s="46"/>
      <c r="O56" s="46"/>
      <c r="P56" s="46"/>
      <c r="Q56" s="46"/>
    </row>
    <row r="57" spans="1:17" s="43" customFormat="1">
      <c r="A57" s="250" t="s">
        <v>49</v>
      </c>
      <c r="B57" s="250"/>
      <c r="C57" s="250"/>
      <c r="D57" s="250"/>
      <c r="E57" s="250"/>
      <c r="F57" s="250"/>
      <c r="G57" s="250"/>
      <c r="I57" s="46"/>
      <c r="J57" s="46"/>
      <c r="K57" s="46"/>
      <c r="L57" s="46"/>
      <c r="M57" s="46"/>
      <c r="N57" s="46"/>
      <c r="O57" s="46"/>
      <c r="P57" s="46"/>
      <c r="Q57" s="46"/>
    </row>
    <row r="58" spans="1:17" s="43" customFormat="1" ht="14.25">
      <c r="A58" s="94" t="s">
        <v>50</v>
      </c>
      <c r="B58" s="56" t="s">
        <v>128</v>
      </c>
      <c r="C58" s="95">
        <f>(B56-B35)</f>
        <v>1.3230096418732786</v>
      </c>
      <c r="D58" s="72" t="s">
        <v>51</v>
      </c>
      <c r="F58" s="56"/>
      <c r="G58" s="57"/>
    </row>
    <row r="59" spans="1:17" s="43" customFormat="1">
      <c r="A59" s="96" t="s">
        <v>52</v>
      </c>
      <c r="B59" s="56"/>
      <c r="C59" s="97">
        <f>C58*60*60</f>
        <v>4762.834710743803</v>
      </c>
      <c r="D59" s="72" t="s">
        <v>53</v>
      </c>
      <c r="F59" s="56"/>
      <c r="G59" s="57"/>
    </row>
    <row r="60" spans="1:17" s="43" customFormat="1">
      <c r="A60" s="96" t="s">
        <v>54</v>
      </c>
      <c r="B60" s="56"/>
      <c r="C60" s="56"/>
      <c r="D60" s="72" t="s">
        <v>55</v>
      </c>
      <c r="E60" s="59">
        <v>60</v>
      </c>
      <c r="F60" s="72" t="s">
        <v>56</v>
      </c>
      <c r="G60" s="57"/>
    </row>
    <row r="61" spans="1:17" s="43" customFormat="1">
      <c r="A61" s="98"/>
      <c r="B61" s="56"/>
      <c r="C61" s="56"/>
      <c r="D61" s="72" t="s">
        <v>57</v>
      </c>
      <c r="E61" s="59">
        <v>156</v>
      </c>
      <c r="F61" s="72" t="s">
        <v>56</v>
      </c>
      <c r="G61" s="57"/>
    </row>
    <row r="62" spans="1:17" s="43" customFormat="1">
      <c r="A62" s="99"/>
      <c r="B62" s="100"/>
      <c r="C62" s="100"/>
      <c r="D62" s="101" t="s">
        <v>58</v>
      </c>
      <c r="E62" s="102">
        <f>C59/E60/E61</f>
        <v>0.50884986225895334</v>
      </c>
      <c r="F62" s="103" t="s">
        <v>56</v>
      </c>
      <c r="G62" s="104"/>
    </row>
    <row r="63" spans="1:17" s="43" customFormat="1">
      <c r="A63" s="323" t="s">
        <v>59</v>
      </c>
      <c r="B63" s="323"/>
      <c r="C63" s="323"/>
      <c r="D63" s="323"/>
      <c r="E63" s="323"/>
      <c r="F63" s="323"/>
      <c r="G63" s="323"/>
    </row>
    <row r="64" spans="1:17" s="43" customFormat="1">
      <c r="A64" s="322" t="s">
        <v>60</v>
      </c>
      <c r="B64" s="322"/>
      <c r="C64" s="322"/>
      <c r="D64" s="322"/>
      <c r="E64" s="322"/>
      <c r="F64" s="322"/>
      <c r="G64" s="322"/>
    </row>
    <row r="65" spans="1:7" s="43" customFormat="1">
      <c r="A65" s="325"/>
      <c r="B65" s="325"/>
      <c r="C65" s="325"/>
      <c r="D65" s="325"/>
      <c r="E65" s="325"/>
      <c r="F65" s="325"/>
      <c r="G65" s="325"/>
    </row>
    <row r="66" spans="1:7" s="43" customFormat="1" ht="40.35" customHeight="1">
      <c r="A66" s="302" t="s">
        <v>61</v>
      </c>
      <c r="B66" s="302"/>
      <c r="C66" s="302"/>
      <c r="D66" s="302"/>
      <c r="E66" s="302"/>
      <c r="F66" s="302"/>
      <c r="G66" s="302"/>
    </row>
    <row r="67" spans="1:7" s="43" customFormat="1" ht="13.35" customHeight="1">
      <c r="A67" s="52" t="s">
        <v>62</v>
      </c>
      <c r="B67" s="237" t="s">
        <v>63</v>
      </c>
      <c r="C67" s="237"/>
      <c r="D67" s="237"/>
      <c r="E67" s="237"/>
      <c r="F67" s="237"/>
      <c r="G67" s="237"/>
    </row>
    <row r="68" spans="1:7" s="43" customFormat="1">
      <c r="A68" s="54" t="s">
        <v>64</v>
      </c>
      <c r="B68" s="105" t="s">
        <v>65</v>
      </c>
      <c r="C68" s="105"/>
      <c r="D68" s="105"/>
      <c r="E68" s="106"/>
      <c r="F68" s="106"/>
      <c r="G68" s="107"/>
    </row>
    <row r="69" spans="1:7" s="43" customFormat="1" ht="13.35" customHeight="1">
      <c r="A69" s="54" t="s">
        <v>8</v>
      </c>
      <c r="B69" s="242" t="s">
        <v>66</v>
      </c>
      <c r="C69" s="242"/>
      <c r="D69" s="242"/>
      <c r="E69" s="242"/>
      <c r="F69" s="242"/>
      <c r="G69" s="242"/>
    </row>
    <row r="70" spans="1:7" s="43" customFormat="1">
      <c r="A70" s="108" t="s">
        <v>67</v>
      </c>
      <c r="B70" s="106" t="s">
        <v>68</v>
      </c>
      <c r="C70" s="106"/>
      <c r="D70" s="106"/>
      <c r="E70" s="106"/>
      <c r="F70" s="106"/>
      <c r="G70" s="107"/>
    </row>
    <row r="71" spans="1:7" s="43" customFormat="1" ht="13.5" customHeight="1">
      <c r="A71" s="109" t="s">
        <v>69</v>
      </c>
      <c r="B71" s="110" t="s">
        <v>70</v>
      </c>
      <c r="C71" s="110"/>
      <c r="D71" s="110"/>
      <c r="E71" s="110"/>
      <c r="F71" s="110"/>
      <c r="G71" s="111"/>
    </row>
    <row r="72" spans="1:7" s="43" customFormat="1">
      <c r="A72" s="315" t="s">
        <v>71</v>
      </c>
      <c r="B72" s="315"/>
      <c r="C72" s="315"/>
      <c r="D72" s="315"/>
      <c r="E72" s="315"/>
      <c r="F72" s="315"/>
      <c r="G72" s="315"/>
    </row>
    <row r="73" spans="1:7" s="43" customFormat="1">
      <c r="A73" s="71" t="s">
        <v>72</v>
      </c>
      <c r="B73" s="61">
        <f>F35</f>
        <v>3.0402272727272722E-2</v>
      </c>
      <c r="C73" s="72" t="s">
        <v>45</v>
      </c>
      <c r="D73" s="60" t="s">
        <v>73</v>
      </c>
      <c r="E73" s="112">
        <v>3</v>
      </c>
      <c r="F73" s="72" t="s">
        <v>74</v>
      </c>
      <c r="G73" s="57"/>
    </row>
    <row r="74" spans="1:7" s="43" customFormat="1">
      <c r="A74" s="71" t="s">
        <v>30</v>
      </c>
      <c r="B74" s="113">
        <v>0.62</v>
      </c>
      <c r="C74" s="72" t="s">
        <v>75</v>
      </c>
      <c r="D74" s="60" t="s">
        <v>76</v>
      </c>
      <c r="E74" s="114">
        <f>B73/(B74*(2*B75*E73)^0.5)</f>
        <v>3.5300488541672331E-3</v>
      </c>
      <c r="F74" s="72" t="s">
        <v>77</v>
      </c>
      <c r="G74" s="57"/>
    </row>
    <row r="75" spans="1:7" s="43" customFormat="1">
      <c r="A75" s="71" t="s">
        <v>78</v>
      </c>
      <c r="B75" s="113">
        <v>32.159999999999997</v>
      </c>
      <c r="C75" s="72" t="s">
        <v>79</v>
      </c>
      <c r="D75" s="46"/>
      <c r="E75" s="46"/>
      <c r="F75" s="56"/>
      <c r="G75" s="57"/>
    </row>
    <row r="76" spans="1:7" s="43" customFormat="1">
      <c r="A76" s="75"/>
      <c r="B76" s="56"/>
      <c r="C76" s="56"/>
      <c r="D76" s="56"/>
      <c r="E76" s="56"/>
      <c r="F76" s="56"/>
      <c r="G76" s="57"/>
    </row>
    <row r="77" spans="1:7" s="43" customFormat="1">
      <c r="A77" s="115" t="s">
        <v>80</v>
      </c>
      <c r="B77" s="116"/>
      <c r="C77" s="116"/>
      <c r="D77" s="117">
        <f>((E74/PI())^0.5)*2*12</f>
        <v>0.8045011389799761</v>
      </c>
      <c r="E77" s="118" t="s">
        <v>81</v>
      </c>
      <c r="F77" s="116"/>
      <c r="G77" s="119"/>
    </row>
    <row r="78" spans="1:7" s="43" customFormat="1">
      <c r="A78" s="120" t="s">
        <v>82</v>
      </c>
      <c r="B78" s="50"/>
      <c r="C78" s="50"/>
      <c r="D78" s="50"/>
      <c r="E78" s="50"/>
      <c r="F78" s="50"/>
      <c r="G78" s="51"/>
    </row>
    <row r="79" spans="1:7" s="43" customFormat="1" ht="13.35" customHeight="1">
      <c r="A79" s="292" t="s">
        <v>129</v>
      </c>
      <c r="B79" s="292"/>
      <c r="C79" s="292"/>
      <c r="D79" s="292"/>
      <c r="E79" s="292"/>
      <c r="F79" s="292"/>
      <c r="G79" s="292"/>
    </row>
    <row r="80" spans="1:7" s="43" customFormat="1" ht="13.35" customHeight="1">
      <c r="A80" s="292" t="s">
        <v>130</v>
      </c>
      <c r="B80" s="292"/>
      <c r="C80" s="292"/>
      <c r="D80" s="292"/>
      <c r="E80" s="292"/>
      <c r="F80" s="292"/>
      <c r="G80" s="292"/>
    </row>
    <row r="81" spans="1:7" s="43" customFormat="1">
      <c r="A81" s="121" t="s">
        <v>131</v>
      </c>
      <c r="B81" s="46"/>
      <c r="C81" s="46"/>
      <c r="D81" s="46"/>
      <c r="E81" s="46"/>
      <c r="F81" s="46"/>
      <c r="G81" s="122"/>
    </row>
    <row r="82" spans="1:7" s="43" customFormat="1" ht="13.35" customHeight="1">
      <c r="A82" s="292" t="s">
        <v>132</v>
      </c>
      <c r="B82" s="292"/>
      <c r="C82" s="292"/>
      <c r="D82" s="292"/>
      <c r="E82" s="292"/>
      <c r="F82" s="292"/>
      <c r="G82" s="292"/>
    </row>
    <row r="83" spans="1:7" s="43" customFormat="1" ht="13.35" customHeight="1">
      <c r="A83" s="324" t="s">
        <v>133</v>
      </c>
      <c r="B83" s="324"/>
      <c r="C83" s="324"/>
      <c r="D83" s="324"/>
      <c r="E83" s="324"/>
      <c r="F83" s="324"/>
      <c r="G83" s="324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scale="95" firstPageNumber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64"/>
  <sheetViews>
    <sheetView topLeftCell="A10" workbookViewId="0">
      <selection activeCell="H30" sqref="H30"/>
    </sheetView>
  </sheetViews>
  <sheetFormatPr defaultColWidth="11.5703125" defaultRowHeight="12.75"/>
  <sheetData>
    <row r="1" spans="1:12">
      <c r="A1" s="2" t="s">
        <v>83</v>
      </c>
      <c r="B1" s="3"/>
      <c r="C1" s="4"/>
      <c r="D1" s="5"/>
      <c r="H1" s="327" t="s">
        <v>84</v>
      </c>
      <c r="I1" s="327"/>
      <c r="J1" s="327"/>
      <c r="K1" s="327"/>
      <c r="L1" s="327"/>
    </row>
    <row r="2" spans="1:12" ht="12.95" customHeight="1">
      <c r="A2" s="6" t="s">
        <v>85</v>
      </c>
      <c r="B2" s="7"/>
      <c r="C2" s="1"/>
      <c r="D2" s="8"/>
      <c r="H2" s="328" t="s">
        <v>86</v>
      </c>
      <c r="I2" s="328"/>
      <c r="J2" s="328"/>
      <c r="K2" s="328"/>
      <c r="L2" s="328"/>
    </row>
    <row r="3" spans="1:12">
      <c r="A3" s="9" t="s">
        <v>87</v>
      </c>
      <c r="B3" s="10"/>
      <c r="C3" s="11"/>
      <c r="D3" s="12"/>
      <c r="H3" s="328"/>
      <c r="I3" s="328"/>
      <c r="J3" s="328"/>
      <c r="K3" s="328"/>
      <c r="L3" s="328"/>
    </row>
    <row r="4" spans="1:12">
      <c r="H4" s="329" t="s">
        <v>88</v>
      </c>
      <c r="I4" s="329"/>
      <c r="J4" s="13"/>
      <c r="K4" s="14"/>
      <c r="L4" s="15"/>
    </row>
    <row r="5" spans="1:12">
      <c r="A5" s="16" t="s">
        <v>89</v>
      </c>
      <c r="B5" s="16"/>
      <c r="H5" s="17" t="s">
        <v>90</v>
      </c>
      <c r="I5" s="18"/>
      <c r="J5" s="19"/>
      <c r="K5" s="20"/>
      <c r="L5" s="21" t="s">
        <v>91</v>
      </c>
    </row>
    <row r="6" spans="1:12">
      <c r="A6" s="330" t="s">
        <v>92</v>
      </c>
      <c r="B6" s="330"/>
      <c r="C6" s="330"/>
      <c r="D6" s="330"/>
      <c r="E6" s="330"/>
      <c r="F6" s="330"/>
      <c r="H6" s="17" t="s">
        <v>93</v>
      </c>
      <c r="I6" s="18"/>
      <c r="J6" s="19"/>
      <c r="K6" s="22"/>
      <c r="L6" s="23" t="s">
        <v>94</v>
      </c>
    </row>
    <row r="7" spans="1:12">
      <c r="A7" s="331" t="s">
        <v>95</v>
      </c>
      <c r="B7" s="331"/>
      <c r="C7" s="331"/>
      <c r="D7" s="331"/>
      <c r="E7" s="331"/>
      <c r="F7" s="331"/>
      <c r="H7" s="24" t="s">
        <v>96</v>
      </c>
      <c r="I7" s="18"/>
      <c r="J7" s="19"/>
      <c r="K7" s="22"/>
      <c r="L7" s="23"/>
    </row>
    <row r="8" spans="1:12" ht="22.5">
      <c r="A8" s="25" t="s">
        <v>97</v>
      </c>
      <c r="B8" s="26" t="s">
        <v>98</v>
      </c>
      <c r="C8" s="27" t="s">
        <v>99</v>
      </c>
      <c r="D8" s="28" t="s">
        <v>100</v>
      </c>
      <c r="E8" s="28" t="s">
        <v>101</v>
      </c>
      <c r="F8" s="29" t="s">
        <v>102</v>
      </c>
      <c r="H8" s="17" t="s">
        <v>103</v>
      </c>
      <c r="I8" s="18"/>
      <c r="J8" s="19"/>
      <c r="K8" s="22"/>
      <c r="L8" s="23" t="s">
        <v>104</v>
      </c>
    </row>
    <row r="9" spans="1:12">
      <c r="A9" s="30">
        <v>5</v>
      </c>
      <c r="B9" s="31">
        <f>2.815*1/(A9/60+0.282)^0.899</f>
        <v>6.9601839710531301</v>
      </c>
      <c r="C9" s="31">
        <f>4.016*1/(A9/60+0.347)^0.826</f>
        <v>8.0588075460187678</v>
      </c>
      <c r="D9" s="31">
        <f>4.611*1/(A9/60+0.346)^0.798</f>
        <v>9.053677589881481</v>
      </c>
      <c r="E9" s="31">
        <f>5.097*1/(A9/60+0.351)^0.783</f>
        <v>9.7926244280308143</v>
      </c>
      <c r="F9" s="32">
        <f>5.487*1/(A9/60+0.334)^0.759</f>
        <v>10.650949043100427</v>
      </c>
      <c r="H9" s="17" t="s">
        <v>105</v>
      </c>
      <c r="I9" s="18"/>
      <c r="J9" s="19"/>
      <c r="K9" s="22"/>
      <c r="L9" s="23" t="s">
        <v>106</v>
      </c>
    </row>
    <row r="10" spans="1:12">
      <c r="A10" s="33">
        <v>6</v>
      </c>
      <c r="B10" s="31">
        <f t="shared" ref="B10:B64" si="0">2.815*1/(A10/60+0.282)^0.899</f>
        <v>6.6865706227083361</v>
      </c>
      <c r="C10" s="31">
        <f t="shared" ref="C10:C64" si="1">4.016*1/(A10/60+0.347)^0.826</f>
        <v>7.8097960041073913</v>
      </c>
      <c r="D10" s="31">
        <f t="shared" ref="D10:D64" si="2">4.611*1/(A10/60+0.346)^0.798</f>
        <v>8.7826566546955558</v>
      </c>
      <c r="E10" s="31">
        <f t="shared" ref="E10:E64" si="3">5.097*1/(A10/60+0.351)^0.783</f>
        <v>9.5081144624843024</v>
      </c>
      <c r="F10" s="32">
        <f t="shared" ref="F10:F64" si="4">5.487*1/(A10/60+0.334)^0.759</f>
        <v>10.339040951180188</v>
      </c>
      <c r="H10" s="17" t="s">
        <v>107</v>
      </c>
      <c r="I10" s="18"/>
      <c r="J10" s="19"/>
      <c r="K10" s="22"/>
      <c r="L10" s="23" t="s">
        <v>108</v>
      </c>
    </row>
    <row r="11" spans="1:12">
      <c r="A11" s="33">
        <v>7</v>
      </c>
      <c r="B11" s="31">
        <f t="shared" si="0"/>
        <v>6.434726265659247</v>
      </c>
      <c r="C11" s="31">
        <f t="shared" si="1"/>
        <v>7.577180818098352</v>
      </c>
      <c r="D11" s="31">
        <f t="shared" si="2"/>
        <v>8.5292548187796644</v>
      </c>
      <c r="E11" s="31">
        <f t="shared" si="3"/>
        <v>9.2417543292766435</v>
      </c>
      <c r="F11" s="32">
        <f t="shared" si="4"/>
        <v>10.047515471358871</v>
      </c>
      <c r="H11" s="17" t="s">
        <v>109</v>
      </c>
      <c r="I11" s="18"/>
      <c r="J11" s="19"/>
      <c r="K11" s="22"/>
      <c r="L11" s="23" t="s">
        <v>110</v>
      </c>
    </row>
    <row r="12" spans="1:12">
      <c r="A12" s="33">
        <v>8</v>
      </c>
      <c r="B12" s="31">
        <f t="shared" si="0"/>
        <v>6.2021131783391743</v>
      </c>
      <c r="C12" s="31">
        <f t="shared" si="1"/>
        <v>7.3593492298407623</v>
      </c>
      <c r="D12" s="31">
        <f t="shared" si="2"/>
        <v>8.2917517751306526</v>
      </c>
      <c r="E12" s="31">
        <f t="shared" si="3"/>
        <v>8.9917992027998217</v>
      </c>
      <c r="F12" s="32">
        <f t="shared" si="4"/>
        <v>9.7743581921045717</v>
      </c>
      <c r="H12" s="17" t="s">
        <v>111</v>
      </c>
      <c r="I12" s="18"/>
      <c r="J12" s="19"/>
      <c r="K12" s="22"/>
      <c r="L12" s="23" t="s">
        <v>112</v>
      </c>
    </row>
    <row r="13" spans="1:12">
      <c r="A13" s="33">
        <v>9</v>
      </c>
      <c r="B13" s="31">
        <f t="shared" si="0"/>
        <v>5.9865761451147605</v>
      </c>
      <c r="C13" s="31">
        <f t="shared" si="1"/>
        <v>7.1548960261875569</v>
      </c>
      <c r="D13" s="31">
        <f t="shared" si="2"/>
        <v>8.0686475332786962</v>
      </c>
      <c r="E13" s="31">
        <f t="shared" si="3"/>
        <v>8.75672465895315</v>
      </c>
      <c r="F13" s="32">
        <f t="shared" si="4"/>
        <v>9.5178165701808997</v>
      </c>
      <c r="H13" s="34" t="s">
        <v>113</v>
      </c>
      <c r="I13" s="19"/>
      <c r="J13" s="19"/>
      <c r="K13" s="22"/>
      <c r="L13" s="23"/>
    </row>
    <row r="14" spans="1:12">
      <c r="A14" s="33">
        <v>10</v>
      </c>
      <c r="B14" s="31">
        <f t="shared" si="0"/>
        <v>5.7862727103344902</v>
      </c>
      <c r="C14" s="31">
        <f t="shared" si="1"/>
        <v>6.9625909450524341</v>
      </c>
      <c r="D14" s="31">
        <f t="shared" si="2"/>
        <v>7.8586279368153358</v>
      </c>
      <c r="E14" s="31">
        <f t="shared" si="3"/>
        <v>8.5351926119981911</v>
      </c>
      <c r="F14" s="32">
        <f t="shared" si="4"/>
        <v>9.2763582719754378</v>
      </c>
      <c r="H14" s="35" t="s">
        <v>114</v>
      </c>
      <c r="I14" s="19"/>
      <c r="J14" s="19"/>
      <c r="K14" s="22"/>
      <c r="L14" s="23" t="s">
        <v>115</v>
      </c>
    </row>
    <row r="15" spans="1:12">
      <c r="A15" s="33">
        <v>11</v>
      </c>
      <c r="B15" s="31">
        <f t="shared" si="0"/>
        <v>5.5996181963997333</v>
      </c>
      <c r="C15" s="31">
        <f t="shared" si="1"/>
        <v>6.7813520661809399</v>
      </c>
      <c r="D15" s="31">
        <f t="shared" si="2"/>
        <v>7.6605364968059524</v>
      </c>
      <c r="E15" s="31">
        <f t="shared" si="3"/>
        <v>8.3260234174240129</v>
      </c>
      <c r="F15" s="32">
        <f t="shared" si="4"/>
        <v>9.0486372753027009</v>
      </c>
      <c r="H15" s="35" t="s">
        <v>116</v>
      </c>
      <c r="I15" s="19"/>
      <c r="J15" s="19"/>
      <c r="K15" s="22"/>
      <c r="L15" s="23" t="s">
        <v>117</v>
      </c>
    </row>
    <row r="16" spans="1:12">
      <c r="A16" s="33">
        <v>12</v>
      </c>
      <c r="B16" s="31">
        <f t="shared" si="0"/>
        <v>5.425241957349848</v>
      </c>
      <c r="C16" s="31">
        <f t="shared" si="1"/>
        <v>6.6102239384607815</v>
      </c>
      <c r="D16" s="31">
        <f t="shared" si="2"/>
        <v>7.4733512262483819</v>
      </c>
      <c r="E16" s="31">
        <f t="shared" si="3"/>
        <v>8.1281728713777746</v>
      </c>
      <c r="F16" s="32">
        <f t="shared" si="4"/>
        <v>8.8334660881074907</v>
      </c>
      <c r="H16" s="17" t="s">
        <v>118</v>
      </c>
      <c r="I16" s="19"/>
      <c r="J16" s="19"/>
      <c r="K16" s="22"/>
      <c r="L16" s="23" t="s">
        <v>119</v>
      </c>
    </row>
    <row r="17" spans="1:12">
      <c r="A17" s="33">
        <v>13</v>
      </c>
      <c r="B17" s="31">
        <f t="shared" si="0"/>
        <v>5.2619522726592365</v>
      </c>
      <c r="C17" s="31">
        <f t="shared" si="1"/>
        <v>6.4483594852079404</v>
      </c>
      <c r="D17" s="31">
        <f t="shared" si="2"/>
        <v>7.2961654654016908</v>
      </c>
      <c r="E17" s="31">
        <f t="shared" si="3"/>
        <v>7.9407131282671051</v>
      </c>
      <c r="F17" s="32">
        <f t="shared" si="4"/>
        <v>8.6297928279504657</v>
      </c>
      <c r="H17" s="35" t="s">
        <v>120</v>
      </c>
      <c r="I17" s="19"/>
      <c r="J17" s="19"/>
      <c r="K17" s="22"/>
      <c r="L17" s="23" t="s">
        <v>121</v>
      </c>
    </row>
    <row r="18" spans="1:12">
      <c r="A18" s="33">
        <v>14</v>
      </c>
      <c r="B18" s="31">
        <f t="shared" si="0"/>
        <v>5.1087079500997898</v>
      </c>
      <c r="C18" s="31">
        <f t="shared" si="1"/>
        <v>6.2950049448736154</v>
      </c>
      <c r="D18" s="31">
        <f t="shared" si="2"/>
        <v>7.1281719151225014</v>
      </c>
      <c r="E18" s="31">
        <f t="shared" si="3"/>
        <v>7.7628167760415545</v>
      </c>
      <c r="F18" s="32">
        <f t="shared" si="4"/>
        <v>8.4366821935413814</v>
      </c>
      <c r="H18" s="36" t="s">
        <v>122</v>
      </c>
      <c r="I18" s="37"/>
      <c r="J18" s="37"/>
      <c r="K18" s="38"/>
      <c r="L18" s="39" t="s">
        <v>123</v>
      </c>
    </row>
    <row r="19" spans="1:12">
      <c r="A19" s="33">
        <v>15</v>
      </c>
      <c r="B19" s="31">
        <f t="shared" si="0"/>
        <v>4.9645951852061767</v>
      </c>
      <c r="C19" s="31">
        <f t="shared" si="1"/>
        <v>6.1494872672646919</v>
      </c>
      <c r="D19" s="31">
        <f t="shared" si="2"/>
        <v>6.9686492665671613</v>
      </c>
      <c r="E19" s="31">
        <f t="shared" si="3"/>
        <v>7.5937434733191784</v>
      </c>
      <c r="F19" s="32">
        <f t="shared" si="4"/>
        <v>8.2532995748703772</v>
      </c>
    </row>
    <row r="20" spans="1:12">
      <c r="A20" s="33">
        <v>16</v>
      </c>
      <c r="B20" s="31">
        <f t="shared" si="0"/>
        <v>4.8288085739561115</v>
      </c>
      <c r="C20" s="31">
        <f t="shared" si="1"/>
        <v>6.0112035089334812</v>
      </c>
      <c r="D20" s="31">
        <f t="shared" si="2"/>
        <v>6.8169509457408006</v>
      </c>
      <c r="E20" s="31">
        <f t="shared" si="3"/>
        <v>7.4328286780397965</v>
      </c>
      <c r="F20" s="32">
        <f t="shared" si="4"/>
        <v>8.0788977112657943</v>
      </c>
    </row>
    <row r="21" spans="1:12">
      <c r="A21" s="33">
        <v>17</v>
      </c>
      <c r="B21" s="31">
        <f t="shared" si="0"/>
        <v>4.7006354326275108</v>
      </c>
      <c r="C21" s="31">
        <f t="shared" si="1"/>
        <v>5.8796118660498937</v>
      </c>
      <c r="D21" s="31">
        <f t="shared" si="2"/>
        <v>6.6724955910935506</v>
      </c>
      <c r="E21" s="31">
        <f t="shared" si="3"/>
        <v>7.2794740937900286</v>
      </c>
      <c r="F21" s="32">
        <f t="shared" si="4"/>
        <v>7.9128054308606179</v>
      </c>
    </row>
    <row r="22" spans="1:12">
      <c r="A22" s="33">
        <v>18</v>
      </c>
      <c r="B22" s="31">
        <f t="shared" si="0"/>
        <v>4.5794427704611689</v>
      </c>
      <c r="C22" s="31">
        <f t="shared" si="1"/>
        <v>5.7542240561549827</v>
      </c>
      <c r="D22" s="31">
        <f t="shared" si="2"/>
        <v>6.534758959386445</v>
      </c>
      <c r="E22" s="31">
        <f t="shared" si="3"/>
        <v>7.1331395346549193</v>
      </c>
      <c r="F22" s="32">
        <f t="shared" si="4"/>
        <v>7.7544181004204269</v>
      </c>
      <c r="G22" s="201" t="s">
        <v>201</v>
      </c>
      <c r="H22">
        <v>20.12</v>
      </c>
    </row>
    <row r="23" spans="1:12">
      <c r="A23" s="33">
        <v>19</v>
      </c>
      <c r="B23" s="31">
        <f t="shared" si="0"/>
        <v>4.4646664048693747</v>
      </c>
      <c r="C23" s="31">
        <f t="shared" si="1"/>
        <v>5.6345988170441395</v>
      </c>
      <c r="D23" s="31">
        <f t="shared" si="2"/>
        <v>6.40326701498305</v>
      </c>
      <c r="E23" s="31">
        <f t="shared" si="3"/>
        <v>6.9933359677341809</v>
      </c>
      <c r="F23" s="32">
        <f t="shared" si="4"/>
        <v>7.6031894884673976</v>
      </c>
      <c r="H23" s="202">
        <v>6.01</v>
      </c>
      <c r="I23" s="203" t="s">
        <v>202</v>
      </c>
      <c r="J23" s="202">
        <v>5.88</v>
      </c>
      <c r="K23" s="202">
        <f>H23-J23</f>
        <v>0.12999999999999989</v>
      </c>
    </row>
    <row r="24" spans="1:12">
      <c r="A24" s="33">
        <v>20</v>
      </c>
      <c r="B24" s="31">
        <f t="shared" si="0"/>
        <v>4.355801818256781</v>
      </c>
      <c r="C24" s="31">
        <f t="shared" si="1"/>
        <v>5.5203363355583575</v>
      </c>
      <c r="D24" s="31">
        <f t="shared" si="2"/>
        <v>6.2775900046862301</v>
      </c>
      <c r="E24" s="31">
        <f t="shared" si="3"/>
        <v>6.8596195382427494</v>
      </c>
      <c r="F24" s="32">
        <f t="shared" si="4"/>
        <v>7.4586248023814159</v>
      </c>
      <c r="J24" s="204" t="s">
        <v>203</v>
      </c>
      <c r="K24" s="202">
        <f>H22-ROUNDDOWN(H22,0)</f>
        <v>0.12000000000000099</v>
      </c>
      <c r="L24" s="204"/>
    </row>
    <row r="25" spans="1:12">
      <c r="A25" s="33">
        <v>21</v>
      </c>
      <c r="B25" s="31">
        <f t="shared" si="0"/>
        <v>4.2523964391533866</v>
      </c>
      <c r="C25" s="31">
        <f t="shared" si="1"/>
        <v>5.4110734541736081</v>
      </c>
      <c r="D25" s="31">
        <f t="shared" si="2"/>
        <v>6.1573373572835175</v>
      </c>
      <c r="E25" s="31">
        <f t="shared" si="3"/>
        <v>6.7315864183109708</v>
      </c>
      <c r="F25" s="32">
        <f t="shared" si="4"/>
        <v>7.3202747055434427</v>
      </c>
      <c r="K25" s="205">
        <f>K23*K24</f>
        <v>1.5600000000000117E-2</v>
      </c>
    </row>
    <row r="26" spans="1:12">
      <c r="A26" s="33">
        <v>22</v>
      </c>
      <c r="B26" s="31">
        <f t="shared" si="0"/>
        <v>4.1540430948443117</v>
      </c>
      <c r="C26" s="31">
        <f t="shared" si="1"/>
        <v>5.3064795311375397</v>
      </c>
      <c r="D26" s="31">
        <f t="shared" si="2"/>
        <v>6.0421532763678645</v>
      </c>
      <c r="E26" s="31">
        <f t="shared" si="3"/>
        <v>6.6088683493930596</v>
      </c>
      <c r="F26" s="32">
        <f t="shared" si="4"/>
        <v>7.1877301564861664</v>
      </c>
      <c r="H26" s="326" t="s">
        <v>204</v>
      </c>
      <c r="I26" s="326"/>
      <c r="J26" s="326"/>
      <c r="K26" s="202">
        <f>ROUND(H23-K25,2)</f>
        <v>5.99</v>
      </c>
      <c r="L26" t="s">
        <v>44</v>
      </c>
    </row>
    <row r="27" spans="1:12">
      <c r="A27" s="33">
        <v>23</v>
      </c>
      <c r="B27" s="31">
        <f t="shared" si="0"/>
        <v>4.0603744327717761</v>
      </c>
      <c r="C27" s="31">
        <f t="shared" si="1"/>
        <v>5.2062528521389533</v>
      </c>
      <c r="D27" s="31">
        <f t="shared" si="2"/>
        <v>5.9317129184780715</v>
      </c>
      <c r="E27" s="31">
        <f t="shared" si="3"/>
        <v>6.4911287712313497</v>
      </c>
      <c r="F27" s="32">
        <f t="shared" si="4"/>
        <v>7.0606179405896246</v>
      </c>
    </row>
    <row r="28" spans="1:12">
      <c r="A28" s="33">
        <v>24</v>
      </c>
      <c r="B28" s="31">
        <f t="shared" si="0"/>
        <v>3.9710581471680113</v>
      </c>
      <c r="C28" s="31">
        <f t="shared" si="1"/>
        <v>5.1101175093441338</v>
      </c>
      <c r="D28" s="31">
        <f t="shared" si="2"/>
        <v>5.8257190674550587</v>
      </c>
      <c r="E28" s="31">
        <f t="shared" si="3"/>
        <v>6.3780594488607614</v>
      </c>
      <c r="F28" s="32">
        <f t="shared" si="4"/>
        <v>6.9385967877330712</v>
      </c>
    </row>
    <row r="29" spans="1:12">
      <c r="A29" s="33">
        <v>25</v>
      </c>
      <c r="B29" s="31">
        <f t="shared" si="0"/>
        <v>3.8857928782325577</v>
      </c>
      <c r="C29" s="31">
        <f t="shared" si="1"/>
        <v>5.0178206780378671</v>
      </c>
      <c r="D29" s="31">
        <f t="shared" si="2"/>
        <v>5.7238992311292058</v>
      </c>
      <c r="E29" s="31">
        <f t="shared" si="3"/>
        <v>6.2693775241313752</v>
      </c>
      <c r="F29" s="32">
        <f t="shared" si="4"/>
        <v>6.8213539877273917</v>
      </c>
      <c r="G29" s="201" t="s">
        <v>205</v>
      </c>
      <c r="H29">
        <v>6.61</v>
      </c>
    </row>
    <row r="30" spans="1:12">
      <c r="A30" s="33">
        <v>26</v>
      </c>
      <c r="B30" s="31">
        <f t="shared" si="0"/>
        <v>3.8043046756169576</v>
      </c>
      <c r="C30" s="31">
        <f t="shared" si="1"/>
        <v>4.92913023279021</v>
      </c>
      <c r="D30" s="31">
        <f t="shared" si="2"/>
        <v>5.6260030988030785</v>
      </c>
      <c r="E30" s="31">
        <f t="shared" si="3"/>
        <v>6.1648229304155215</v>
      </c>
      <c r="F30" s="32">
        <f t="shared" si="4"/>
        <v>6.7086024302526956</v>
      </c>
      <c r="H30" s="202">
        <v>7.81</v>
      </c>
      <c r="I30" s="203" t="s">
        <v>202</v>
      </c>
      <c r="J30" s="202">
        <v>7.58</v>
      </c>
      <c r="K30" s="202">
        <f>H30-J30</f>
        <v>0.22999999999999954</v>
      </c>
    </row>
    <row r="31" spans="1:12">
      <c r="A31" s="33">
        <v>27</v>
      </c>
      <c r="B31" s="31">
        <f t="shared" si="0"/>
        <v>3.7263439374694527</v>
      </c>
      <c r="C31" s="31">
        <f t="shared" si="1"/>
        <v>4.8438326545929433</v>
      </c>
      <c r="D31" s="31">
        <f t="shared" si="2"/>
        <v>5.5318003080630715</v>
      </c>
      <c r="E31" s="31">
        <f t="shared" si="3"/>
        <v>6.0641561191215656</v>
      </c>
      <c r="F31" s="32">
        <f t="shared" si="4"/>
        <v>6.6000780081442123</v>
      </c>
      <c r="J31" s="204" t="s">
        <v>203</v>
      </c>
      <c r="K31" s="202">
        <f>H29-ROUNDDOWN(H29,0)</f>
        <v>0.61000000000000032</v>
      </c>
    </row>
    <row r="32" spans="1:12">
      <c r="A32" s="33">
        <v>28</v>
      </c>
      <c r="B32" s="31">
        <f t="shared" si="0"/>
        <v>3.6516827519163759</v>
      </c>
      <c r="C32" s="31">
        <f t="shared" si="1"/>
        <v>4.7617311882076825</v>
      </c>
      <c r="D32" s="31">
        <f t="shared" si="2"/>
        <v>5.4410784777020007</v>
      </c>
      <c r="E32" s="31">
        <f t="shared" si="3"/>
        <v>5.9671560548059368</v>
      </c>
      <c r="F32" s="32">
        <f t="shared" si="4"/>
        <v>6.4955373327728116</v>
      </c>
      <c r="K32" s="205">
        <f>K30*K31</f>
        <v>0.14029999999999979</v>
      </c>
    </row>
    <row r="33" spans="1:12">
      <c r="A33" s="33">
        <v>29</v>
      </c>
      <c r="B33" s="31">
        <f t="shared" si="0"/>
        <v>3.5801125804497143</v>
      </c>
      <c r="C33" s="31">
        <f t="shared" si="1"/>
        <v>4.6826442153816439</v>
      </c>
      <c r="D33" s="31">
        <f t="shared" si="2"/>
        <v>5.3536414703216542</v>
      </c>
      <c r="E33" s="31">
        <f t="shared" si="3"/>
        <v>5.8736184424077749</v>
      </c>
      <c r="F33" s="32">
        <f t="shared" si="4"/>
        <v>6.3947557183963459</v>
      </c>
      <c r="H33" s="326" t="s">
        <v>204</v>
      </c>
      <c r="I33" s="326"/>
      <c r="J33" s="326"/>
      <c r="K33" s="202">
        <f>ROUND(H30-K32,2)</f>
        <v>7.67</v>
      </c>
      <c r="L33" t="s">
        <v>44</v>
      </c>
    </row>
    <row r="34" spans="1:12">
      <c r="A34" s="33">
        <v>30</v>
      </c>
      <c r="B34" s="31">
        <f t="shared" si="0"/>
        <v>3.5114422328919797</v>
      </c>
      <c r="C34" s="31">
        <f t="shared" si="1"/>
        <v>4.6064038148852582</v>
      </c>
      <c r="D34" s="31">
        <f t="shared" si="2"/>
        <v>5.2693078537925659</v>
      </c>
      <c r="E34" s="31">
        <f t="shared" si="3"/>
        <v>5.7833541557027015</v>
      </c>
      <c r="F34" s="32">
        <f t="shared" si="4"/>
        <v>6.297525399061235</v>
      </c>
    </row>
    <row r="35" spans="1:12">
      <c r="A35" s="33">
        <v>31</v>
      </c>
      <c r="B35" s="31">
        <f t="shared" si="0"/>
        <v>3.4454960919146558</v>
      </c>
      <c r="C35" s="31">
        <f t="shared" si="1"/>
        <v>4.5328544847199543</v>
      </c>
      <c r="D35" s="31">
        <f t="shared" si="2"/>
        <v>5.187909535401257</v>
      </c>
      <c r="E35" s="31">
        <f t="shared" si="3"/>
        <v>5.6961878407022564</v>
      </c>
      <c r="F35" s="32">
        <f t="shared" si="4"/>
        <v>6.2036539471838603</v>
      </c>
    </row>
    <row r="36" spans="1:12">
      <c r="A36" s="33">
        <v>32</v>
      </c>
      <c r="B36" s="31">
        <f t="shared" si="0"/>
        <v>3.3821125518792297</v>
      </c>
      <c r="C36" s="31">
        <f t="shared" si="1"/>
        <v>4.4618520055031672</v>
      </c>
      <c r="D36" s="31">
        <f t="shared" si="2"/>
        <v>5.1092905463907643</v>
      </c>
      <c r="E36" s="31">
        <f t="shared" si="3"/>
        <v>5.6119566715875457</v>
      </c>
      <c r="F36" s="32">
        <f t="shared" si="4"/>
        <v>6.1129628675549723</v>
      </c>
    </row>
    <row r="37" spans="1:12">
      <c r="A37" s="33">
        <v>33</v>
      </c>
      <c r="B37" s="31">
        <f t="shared" si="0"/>
        <v>3.3211426423503227</v>
      </c>
      <c r="C37" s="31">
        <f t="shared" si="1"/>
        <v>4.3932624270952898</v>
      </c>
      <c r="D37" s="31">
        <f t="shared" si="2"/>
        <v>5.0333059578403825</v>
      </c>
      <c r="E37" s="31">
        <f t="shared" si="3"/>
        <v>5.5305092399988842</v>
      </c>
      <c r="F37" s="32">
        <f t="shared" si="4"/>
        <v>6.0252863443603717</v>
      </c>
      <c r="G37" s="201"/>
    </row>
    <row r="38" spans="1:12">
      <c r="A38" s="33">
        <v>34</v>
      </c>
      <c r="B38" s="31">
        <f t="shared" si="0"/>
        <v>3.262448811234727</v>
      </c>
      <c r="C38" s="31">
        <f t="shared" si="1"/>
        <v>4.3269611630978799</v>
      </c>
      <c r="D38" s="31">
        <f t="shared" si="2"/>
        <v>4.9598209115490395</v>
      </c>
      <c r="E38" s="31">
        <f t="shared" si="3"/>
        <v>5.451704561219695</v>
      </c>
      <c r="F38" s="32">
        <f t="shared" si="4"/>
        <v>5.9404701220356255</v>
      </c>
      <c r="H38" s="202"/>
      <c r="I38" s="203"/>
      <c r="J38" s="202"/>
      <c r="K38" s="202"/>
    </row>
    <row r="39" spans="1:12">
      <c r="A39" s="33">
        <v>35</v>
      </c>
      <c r="B39" s="31">
        <f t="shared" si="0"/>
        <v>3.2059038463144267</v>
      </c>
      <c r="C39" s="31">
        <f t="shared" si="1"/>
        <v>4.2628321800108795</v>
      </c>
      <c r="D39" s="31">
        <f t="shared" si="2"/>
        <v>4.8887097518755214</v>
      </c>
      <c r="E39" s="31">
        <f t="shared" si="3"/>
        <v>5.3754111830828526</v>
      </c>
      <c r="F39" s="32">
        <f t="shared" si="4"/>
        <v>5.8583705034828055</v>
      </c>
      <c r="J39" s="204"/>
      <c r="K39" s="205"/>
    </row>
    <row r="40" spans="1:12">
      <c r="A40" s="33">
        <v>36</v>
      </c>
      <c r="B40" s="31">
        <f t="shared" si="0"/>
        <v>3.1513899171139776</v>
      </c>
      <c r="C40" s="31">
        <f t="shared" si="1"/>
        <v>4.2007672696592548</v>
      </c>
      <c r="D40" s="31">
        <f t="shared" si="2"/>
        <v>4.8198552464221303</v>
      </c>
      <c r="E40" s="31">
        <f t="shared" si="3"/>
        <v>5.3015063853645685</v>
      </c>
      <c r="F40" s="32">
        <f t="shared" si="4"/>
        <v>5.7788534514629459</v>
      </c>
      <c r="K40" s="205"/>
    </row>
    <row r="41" spans="1:12">
      <c r="A41" s="33">
        <v>37</v>
      </c>
      <c r="B41" s="31">
        <f t="shared" si="0"/>
        <v>3.0987977216907807</v>
      </c>
      <c r="C41" s="31">
        <f t="shared" si="1"/>
        <v>4.1406653950434027</v>
      </c>
      <c r="D41" s="31">
        <f t="shared" si="2"/>
        <v>4.75314788508667</v>
      </c>
      <c r="E41" s="31">
        <f t="shared" si="3"/>
        <v>5.2298754590740977</v>
      </c>
      <c r="F41" s="32">
        <f t="shared" si="4"/>
        <v>5.7017937809118084</v>
      </c>
      <c r="H41" s="326"/>
      <c r="I41" s="326"/>
      <c r="J41" s="326"/>
      <c r="K41" s="205"/>
    </row>
    <row r="42" spans="1:12">
      <c r="A42" s="33">
        <v>38</v>
      </c>
      <c r="B42" s="31">
        <f t="shared" si="0"/>
        <v>3.0480257251554956</v>
      </c>
      <c r="C42" s="31">
        <f t="shared" si="1"/>
        <v>4.082432101079676</v>
      </c>
      <c r="D42" s="31">
        <f t="shared" si="2"/>
        <v>4.6884852484002968</v>
      </c>
      <c r="E42" s="31">
        <f t="shared" si="3"/>
        <v>5.1604110564460202</v>
      </c>
      <c r="F42" s="32">
        <f t="shared" si="4"/>
        <v>5.6270744315680146</v>
      </c>
    </row>
    <row r="43" spans="1:12">
      <c r="A43" s="33">
        <v>39</v>
      </c>
      <c r="B43" s="31">
        <f t="shared" si="0"/>
        <v>2.9989794785951136</v>
      </c>
      <c r="C43" s="31">
        <f t="shared" si="1"/>
        <v>4.0259789828154267</v>
      </c>
      <c r="D43" s="31">
        <f t="shared" si="2"/>
        <v>4.62577143725595</v>
      </c>
      <c r="E43" s="31">
        <f t="shared" si="3"/>
        <v>5.0930126036353602</v>
      </c>
      <c r="F43" s="32">
        <f t="shared" si="4"/>
        <v>5.5545858116999849</v>
      </c>
    </row>
    <row r="44" spans="1:12">
      <c r="A44" s="33">
        <v>40</v>
      </c>
      <c r="B44" s="31">
        <f t="shared" si="0"/>
        <v>2.9515710086446023</v>
      </c>
      <c r="C44" s="31">
        <f t="shared" si="1"/>
        <v>3.9712232046586027</v>
      </c>
      <c r="D44" s="31">
        <f t="shared" si="2"/>
        <v>4.5649165571471224</v>
      </c>
      <c r="E44" s="31">
        <f t="shared" si="3"/>
        <v>5.0275857691373744</v>
      </c>
      <c r="F44" s="32">
        <f t="shared" si="4"/>
        <v>5.4842252049113016</v>
      </c>
      <c r="G44" s="201"/>
    </row>
    <row r="45" spans="1:12">
      <c r="A45" s="33">
        <v>41</v>
      </c>
      <c r="B45" s="31">
        <f t="shared" si="0"/>
        <v>2.9057182692844683</v>
      </c>
      <c r="C45" s="31">
        <f t="shared" si="1"/>
        <v>3.9180870649808806</v>
      </c>
      <c r="D45" s="31">
        <f t="shared" si="2"/>
        <v>4.5058362509069063</v>
      </c>
      <c r="E45" s="31">
        <f t="shared" si="3"/>
        <v>4.9640419818305377</v>
      </c>
      <c r="F45" s="32">
        <f t="shared" si="4"/>
        <v>5.4158962330256317</v>
      </c>
      <c r="H45" s="202"/>
      <c r="I45" s="203"/>
      <c r="J45" s="202"/>
      <c r="K45" s="202"/>
    </row>
    <row r="46" spans="1:12">
      <c r="A46" s="33">
        <v>42</v>
      </c>
      <c r="B46" s="31">
        <f t="shared" si="0"/>
        <v>2.8613446485717446</v>
      </c>
      <c r="C46" s="31">
        <f t="shared" si="1"/>
        <v>3.8664976011570871</v>
      </c>
      <c r="D46" s="31">
        <f t="shared" si="2"/>
        <v>4.4484512746852216</v>
      </c>
      <c r="E46" s="31">
        <f t="shared" si="3"/>
        <v>4.9022979932956456</v>
      </c>
      <c r="F46" s="32">
        <f t="shared" si="4"/>
        <v>5.349508368929432</v>
      </c>
      <c r="J46" s="204"/>
      <c r="K46" s="205"/>
    </row>
    <row r="47" spans="1:12">
      <c r="A47" s="33">
        <v>43</v>
      </c>
      <c r="B47" s="31">
        <f t="shared" si="0"/>
        <v>2.8183785239740815</v>
      </c>
      <c r="C47" s="31">
        <f t="shared" si="1"/>
        <v>3.8163862307099063</v>
      </c>
      <c r="D47" s="31">
        <f t="shared" si="2"/>
        <v>4.3926871125467768</v>
      </c>
      <c r="E47" s="31">
        <f t="shared" si="3"/>
        <v>4.8422754797147194</v>
      </c>
      <c r="F47" s="32">
        <f t="shared" si="4"/>
        <v>5.2849764940055888</v>
      </c>
      <c r="K47" s="205"/>
    </row>
    <row r="48" spans="1:12">
      <c r="A48" s="33">
        <v>44</v>
      </c>
      <c r="B48" s="31">
        <f t="shared" si="0"/>
        <v>2.7767528607981204</v>
      </c>
      <c r="C48" s="31">
        <f t="shared" si="1"/>
        <v>3.7676884247525457</v>
      </c>
      <c r="D48" s="31">
        <f t="shared" si="2"/>
        <v>4.3384736256291871</v>
      </c>
      <c r="E48" s="31">
        <f t="shared" si="3"/>
        <v>4.7839006792161971</v>
      </c>
      <c r="F48" s="32">
        <f t="shared" si="4"/>
        <v>5.2222204954426727</v>
      </c>
      <c r="H48" s="326"/>
      <c r="I48" s="326"/>
      <c r="J48" s="326"/>
      <c r="K48" s="205"/>
    </row>
    <row r="49" spans="1:6">
      <c r="A49" s="33">
        <v>45</v>
      </c>
      <c r="B49" s="31">
        <f t="shared" si="0"/>
        <v>2.7364048489066644</v>
      </c>
      <c r="C49" s="31">
        <f t="shared" si="1"/>
        <v>3.720343410375277</v>
      </c>
      <c r="D49" s="31">
        <f t="shared" si="2"/>
        <v>4.2857447322829438</v>
      </c>
      <c r="E49" s="31">
        <f t="shared" si="3"/>
        <v>4.7271040610206772</v>
      </c>
      <c r="F49" s="32">
        <f t="shared" si="4"/>
        <v>5.1611648992680159</v>
      </c>
    </row>
    <row r="50" spans="1:6">
      <c r="A50" s="33">
        <v>46</v>
      </c>
      <c r="B50" s="31">
        <f t="shared" si="0"/>
        <v>2.6972755735229477</v>
      </c>
      <c r="C50" s="31">
        <f t="shared" si="1"/>
        <v>3.6742938990151757</v>
      </c>
      <c r="D50" s="31">
        <f t="shared" si="2"/>
        <v>4.2344381160335667</v>
      </c>
      <c r="E50" s="31">
        <f t="shared" si="3"/>
        <v>4.6718200231653348</v>
      </c>
      <c r="F50" s="32">
        <f t="shared" si="4"/>
        <v>5.1017385354416129</v>
      </c>
    </row>
    <row r="51" spans="1:6">
      <c r="A51" s="33">
        <v>47</v>
      </c>
      <c r="B51" s="31">
        <f t="shared" si="0"/>
        <v>2.6593097164399309</v>
      </c>
      <c r="C51" s="31">
        <f t="shared" si="1"/>
        <v>3.6294858381904502</v>
      </c>
      <c r="D51" s="31">
        <f t="shared" si="2"/>
        <v>4.1844949585704194</v>
      </c>
      <c r="E51" s="31">
        <f t="shared" si="3"/>
        <v>4.6179866159541643</v>
      </c>
      <c r="F51" s="32">
        <f t="shared" si="4"/>
        <v>5.0438742317724667</v>
      </c>
    </row>
    <row r="52" spans="1:6">
      <c r="A52" s="33">
        <v>48</v>
      </c>
      <c r="B52" s="31">
        <f t="shared" si="0"/>
        <v>2.6224552844009597</v>
      </c>
      <c r="C52" s="31">
        <f t="shared" si="1"/>
        <v>3.5858681842789113</v>
      </c>
      <c r="D52" s="31">
        <f t="shared" si="2"/>
        <v>4.1358596952842213</v>
      </c>
      <c r="E52" s="31">
        <f t="shared" si="3"/>
        <v>4.5655452886032233</v>
      </c>
      <c r="F52" s="32">
        <f t="shared" si="4"/>
        <v>4.9875085337890575</v>
      </c>
    </row>
    <row r="53" spans="1:6">
      <c r="A53" s="33">
        <v>49</v>
      </c>
      <c r="B53" s="31">
        <f t="shared" si="0"/>
        <v>2.5866633618058628</v>
      </c>
      <c r="C53" s="31">
        <f t="shared" si="1"/>
        <v>3.5433926942805898</v>
      </c>
      <c r="D53" s="31">
        <f t="shared" si="2"/>
        <v>4.0884797911526558</v>
      </c>
      <c r="E53" s="31">
        <f t="shared" si="3"/>
        <v>4.514440656831658</v>
      </c>
      <c r="F53" s="32">
        <f t="shared" si="4"/>
        <v>4.9325814480184818</v>
      </c>
    </row>
    <row r="54" spans="1:6">
      <c r="A54" s="33">
        <v>50</v>
      </c>
      <c r="B54" s="31">
        <f t="shared" si="0"/>
        <v>2.5518878852327722</v>
      </c>
      <c r="C54" s="31">
        <f t="shared" si="1"/>
        <v>3.5020137347323916</v>
      </c>
      <c r="D54" s="31">
        <f t="shared" si="2"/>
        <v>4.0423055350163581</v>
      </c>
      <c r="E54" s="31">
        <f t="shared" si="3"/>
        <v>4.4646202893960245</v>
      </c>
      <c r="F54" s="32">
        <f t="shared" si="4"/>
        <v>4.8790362064113122</v>
      </c>
    </row>
    <row r="55" spans="1:6">
      <c r="A55" s="33">
        <v>51</v>
      </c>
      <c r="B55" s="31">
        <f t="shared" si="0"/>
        <v>2.5180854375580495</v>
      </c>
      <c r="C55" s="31">
        <f t="shared" si="1"/>
        <v>3.4616881061426166</v>
      </c>
      <c r="D55" s="31">
        <f t="shared" si="2"/>
        <v>3.9972898505006351</v>
      </c>
      <c r="E55" s="31">
        <f t="shared" si="3"/>
        <v>4.4160345117820432</v>
      </c>
      <c r="F55" s="32">
        <f t="shared" si="4"/>
        <v>4.8268190498968124</v>
      </c>
    </row>
    <row r="56" spans="1:6">
      <c r="A56" s="33">
        <v>52</v>
      </c>
      <c r="B56" s="31">
        <f t="shared" si="0"/>
        <v>2.4852150597110398</v>
      </c>
      <c r="C56" s="31">
        <f t="shared" si="1"/>
        <v>3.4223748814887487</v>
      </c>
      <c r="D56" s="31">
        <f t="shared" si="2"/>
        <v>3.9533881220254692</v>
      </c>
      <c r="E56" s="31">
        <f t="shared" si="3"/>
        <v>4.3686362254584274</v>
      </c>
      <c r="F56" s="32">
        <f t="shared" si="4"/>
        <v>4.7758790292705857</v>
      </c>
    </row>
    <row r="57" spans="1:6">
      <c r="A57" s="33">
        <v>53</v>
      </c>
      <c r="B57" s="31">
        <f t="shared" si="0"/>
        <v>2.4532380783223551</v>
      </c>
      <c r="C57" s="31">
        <f t="shared" si="1"/>
        <v>3.3840352574765613</v>
      </c>
      <c r="D57" s="31">
        <f t="shared" si="2"/>
        <v>3.9105580345112987</v>
      </c>
      <c r="E57" s="31">
        <f t="shared" si="3"/>
        <v>4.3223807412653956</v>
      </c>
      <c r="F57" s="32">
        <f t="shared" si="4"/>
        <v>4.7261678218080405</v>
      </c>
    </row>
    <row r="58" spans="1:6">
      <c r="A58" s="33">
        <v>54</v>
      </c>
      <c r="B58" s="31">
        <f t="shared" si="0"/>
        <v>2.4221179477184482</v>
      </c>
      <c r="C58" s="31">
        <f t="shared" si="1"/>
        <v>3.3466324173949045</v>
      </c>
      <c r="D58" s="31">
        <f t="shared" si="2"/>
        <v>3.8687594255334599</v>
      </c>
      <c r="E58" s="31">
        <f t="shared" si="3"/>
        <v>4.2772256256586285</v>
      </c>
      <c r="F58" s="32">
        <f t="shared" si="4"/>
        <v>4.6776395621656874</v>
      </c>
    </row>
    <row r="59" spans="1:6">
      <c r="A59" s="33">
        <v>55</v>
      </c>
      <c r="B59" s="31">
        <f t="shared" si="0"/>
        <v>2.391820104885324</v>
      </c>
      <c r="C59" s="31">
        <f t="shared" si="1"/>
        <v>3.310131404521016</v>
      </c>
      <c r="D59" s="31">
        <f t="shared" si="2"/>
        <v>3.8279541488067732</v>
      </c>
      <c r="E59" s="31">
        <f t="shared" si="3"/>
        <v>4.2331305586605827</v>
      </c>
      <c r="F59" s="32">
        <f t="shared" si="4"/>
        <v>4.6302506862812596</v>
      </c>
    </row>
    <row r="60" spans="1:6">
      <c r="A60" s="33">
        <v>56</v>
      </c>
      <c r="B60" s="31">
        <f t="shared" si="0"/>
        <v>2.3623118361734976</v>
      </c>
      <c r="C60" s="31">
        <f t="shared" si="1"/>
        <v>3.2744990051377738</v>
      </c>
      <c r="D60" s="31">
        <f t="shared" si="2"/>
        <v>3.7881059479954864</v>
      </c>
      <c r="E60" s="31">
        <f t="shared" si="3"/>
        <v>4.1900572024871723</v>
      </c>
      <c r="F60" s="32">
        <f t="shared" si="4"/>
        <v>4.5839597871153241</v>
      </c>
    </row>
    <row r="61" spans="1:6">
      <c r="A61" s="33">
        <v>57</v>
      </c>
      <c r="B61" s="31">
        <f t="shared" si="0"/>
        <v>2.3335621546476149</v>
      </c>
      <c r="C61" s="31">
        <f t="shared" si="1"/>
        <v>3.2397036403188246</v>
      </c>
      <c r="D61" s="31">
        <f t="shared" si="2"/>
        <v>3.7491803399447305</v>
      </c>
      <c r="E61" s="31">
        <f t="shared" si="3"/>
        <v>4.1479690799208608</v>
      </c>
      <c r="F61" s="32">
        <f t="shared" si="4"/>
        <v>4.5387274811938534</v>
      </c>
    </row>
    <row r="62" spans="1:6">
      <c r="A62" s="33">
        <v>58</v>
      </c>
      <c r="B62" s="31">
        <f t="shared" si="0"/>
        <v>2.3055416870998564</v>
      </c>
      <c r="C62" s="31">
        <f t="shared" si="1"/>
        <v>3.2057152657214134</v>
      </c>
      <c r="D62" s="31">
        <f t="shared" si="2"/>
        <v>3.7111445065192052</v>
      </c>
      <c r="E62" s="31">
        <f t="shared" si="3"/>
        <v>4.1068314615928037</v>
      </c>
      <c r="F62" s="32">
        <f t="shared" si="4"/>
        <v>4.494516285014809</v>
      </c>
    </row>
    <row r="63" spans="1:6">
      <c r="A63" s="33">
        <v>59</v>
      </c>
      <c r="B63" s="31">
        <f t="shared" si="0"/>
        <v>2.2782225698483596</v>
      </c>
      <c r="C63" s="31">
        <f t="shared" si="1"/>
        <v>3.1725052787013555</v>
      </c>
      <c r="D63" s="31">
        <f t="shared" si="2"/>
        <v>3.6739671943145717</v>
      </c>
      <c r="E63" s="31">
        <f t="shared" si="3"/>
        <v>4.0666112614181946</v>
      </c>
      <c r="F63" s="32">
        <f t="shared" si="4"/>
        <v>4.45129050047393</v>
      </c>
    </row>
    <row r="64" spans="1:6">
      <c r="A64" s="40">
        <v>60</v>
      </c>
      <c r="B64" s="41">
        <f t="shared" si="0"/>
        <v>2.2515783525321944</v>
      </c>
      <c r="C64" s="41">
        <f t="shared" si="1"/>
        <v>3.1400464321310486</v>
      </c>
      <c r="D64" s="41">
        <f t="shared" si="2"/>
        <v>3.6376186215779986</v>
      </c>
      <c r="E64" s="41">
        <f t="shared" si="3"/>
        <v>4.0272769395016192</v>
      </c>
      <c r="F64" s="42">
        <f t="shared" si="4"/>
        <v>4.4090161085469086</v>
      </c>
    </row>
  </sheetData>
  <mergeCells count="9">
    <mergeCell ref="H48:J48"/>
    <mergeCell ref="H1:L1"/>
    <mergeCell ref="H2:L3"/>
    <mergeCell ref="H4:I4"/>
    <mergeCell ref="A6:F6"/>
    <mergeCell ref="A7:F7"/>
    <mergeCell ref="H26:J26"/>
    <mergeCell ref="H33:J33"/>
    <mergeCell ref="H41:J41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Pollutant Loads</vt:lpstr>
      <vt:lpstr>10 Year event 1.25" Cap W-G (2)</vt:lpstr>
      <vt:lpstr>10 Year event 1.25" Cap W-Green</vt:lpstr>
      <vt:lpstr>10 Year event 1.25" Capture</vt:lpstr>
      <vt:lpstr>10 Year event 10% Reduction24hr</vt:lpstr>
      <vt:lpstr>10 Year event NO Reduction24Hr</vt:lpstr>
      <vt:lpstr>25 Year event</vt:lpstr>
      <vt:lpstr>Intensity calcs</vt:lpstr>
      <vt:lpstr>'10 Year event 1.25" Cap W-G (2)'!Print_Area</vt:lpstr>
      <vt:lpstr>'10 Year event 1.25" Cap W-Green'!Print_Area</vt:lpstr>
      <vt:lpstr>'10 Year event 1.25" Capture'!Print_Area</vt:lpstr>
      <vt:lpstr>'10 Year event 10% Reduction24hr'!Print_Area</vt:lpstr>
      <vt:lpstr>'10 Year event NO Reduction24Hr'!Print_Area</vt:lpstr>
      <vt:lpstr>'25 Year event'!Print_Area</vt:lpstr>
      <vt:lpstr>'Pollutant Loads'!Print_Area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David</cp:lastModifiedBy>
  <cp:lastPrinted>2016-02-02T02:32:32Z</cp:lastPrinted>
  <dcterms:created xsi:type="dcterms:W3CDTF">2011-05-17T14:52:40Z</dcterms:created>
  <dcterms:modified xsi:type="dcterms:W3CDTF">2016-02-02T19:05:05Z</dcterms:modified>
</cp:coreProperties>
</file>