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T:\Stormwater Runoff\"/>
    </mc:Choice>
  </mc:AlternateContent>
  <xr:revisionPtr revIDLastSave="0" documentId="8_{4A7AFF0E-0263-4F67-9B53-DB983633AE9E}" xr6:coauthVersionLast="31" xr6:coauthVersionMax="31" xr10:uidLastSave="{00000000-0000-0000-0000-000000000000}"/>
  <bookViews>
    <workbookView xWindow="10935" yWindow="0" windowWidth="10260" windowHeight="13080" xr2:uid="{00000000-000D-0000-FFFF-FFFF00000000}"/>
  </bookViews>
  <sheets>
    <sheet name="10 Year event" sheetId="1" r:id="rId1"/>
    <sheet name="100 Year event" sheetId="3" r:id="rId2"/>
    <sheet name="Intensity calcs" sheetId="2" r:id="rId3"/>
    <sheet name="Detention Pond" sheetId="4" r:id="rId4"/>
  </sheets>
  <definedNames>
    <definedName name="_xlnm.Print_Area" localSheetId="0">'10 Year event'!$A$1:$G$50</definedName>
    <definedName name="_xlnm.Print_Area" localSheetId="1">'100 Year event'!$A$1:$G$50</definedName>
  </definedNames>
  <calcPr calcId="179017" fullPrecision="0"/>
</workbook>
</file>

<file path=xl/calcChain.xml><?xml version="1.0" encoding="utf-8"?>
<calcChain xmlns="http://schemas.openxmlformats.org/spreadsheetml/2006/main">
  <c r="C4" i="4" l="1"/>
  <c r="B4" i="4"/>
  <c r="H23" i="2"/>
  <c r="C52" i="3"/>
  <c r="F41" i="3"/>
  <c r="F22" i="3"/>
  <c r="F20" i="3"/>
  <c r="F43" i="3"/>
  <c r="F18" i="1"/>
  <c r="F20" i="1"/>
  <c r="F22" i="1"/>
  <c r="D24" i="1"/>
  <c r="B25" i="1" s="1"/>
  <c r="C30" i="1" s="1"/>
  <c r="C31" i="1"/>
  <c r="F39" i="1"/>
  <c r="F41" i="1"/>
  <c r="F43" i="1"/>
  <c r="D45" i="1"/>
  <c r="B46" i="1" s="1"/>
  <c r="C51" i="1" s="1"/>
  <c r="C52" i="1"/>
  <c r="B9" i="2"/>
  <c r="C9" i="2"/>
  <c r="D9" i="2"/>
  <c r="E9" i="2"/>
  <c r="F9" i="2"/>
  <c r="B10" i="2"/>
  <c r="C10" i="2"/>
  <c r="D10" i="2"/>
  <c r="E10" i="2"/>
  <c r="F10" i="2"/>
  <c r="B11" i="2"/>
  <c r="C11" i="2"/>
  <c r="H30" i="2" s="1"/>
  <c r="D11" i="2"/>
  <c r="E11" i="2"/>
  <c r="F11" i="2"/>
  <c r="H45" i="2" s="1"/>
  <c r="B12" i="2"/>
  <c r="C12" i="2"/>
  <c r="J30" i="2" s="1"/>
  <c r="D12" i="2"/>
  <c r="E12" i="2"/>
  <c r="F12" i="2"/>
  <c r="J45" i="2" s="1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H38" i="2" s="1"/>
  <c r="B19" i="2"/>
  <c r="C19" i="2"/>
  <c r="J23" i="2" s="1"/>
  <c r="D19" i="2"/>
  <c r="E19" i="2"/>
  <c r="F19" i="2"/>
  <c r="J38" i="2" s="1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F24" i="1" l="1"/>
  <c r="F45" i="1"/>
  <c r="B56" i="1" s="1"/>
  <c r="K45" i="2"/>
  <c r="K30" i="2"/>
  <c r="K23" i="2"/>
  <c r="K38" i="2"/>
  <c r="D45" i="3"/>
  <c r="B46" i="3" s="1"/>
  <c r="C51" i="3" s="1"/>
  <c r="F39" i="3"/>
  <c r="F45" i="3" s="1"/>
  <c r="C31" i="3"/>
  <c r="D24" i="3"/>
  <c r="B25" i="3" s="1"/>
  <c r="C30" i="3" s="1"/>
  <c r="F18" i="3"/>
  <c r="F24" i="3" s="1"/>
  <c r="C53" i="1"/>
  <c r="H29" i="2" s="1"/>
  <c r="K31" i="2" s="1"/>
  <c r="C32" i="1"/>
  <c r="H22" i="2" s="1"/>
  <c r="K24" i="2" s="1"/>
  <c r="K32" i="2" l="1"/>
  <c r="K33" i="2" s="1"/>
  <c r="B56" i="3"/>
  <c r="K25" i="2"/>
  <c r="K26" i="2" s="1"/>
  <c r="C33" i="1" s="1"/>
  <c r="B35" i="1" s="1"/>
  <c r="B73" i="1" s="1"/>
  <c r="C53" i="3"/>
  <c r="H44" i="2" s="1"/>
  <c r="K46" i="2" s="1"/>
  <c r="K47" i="2" s="1"/>
  <c r="K48" i="2" s="1"/>
  <c r="C54" i="3" s="1"/>
  <c r="C32" i="3"/>
  <c r="H37" i="2" s="1"/>
  <c r="K39" i="2" s="1"/>
  <c r="K40" i="2" s="1"/>
  <c r="K41" i="2" s="1"/>
  <c r="C33" i="3" s="1"/>
  <c r="B35" i="3" s="1"/>
  <c r="C58" i="1" l="1"/>
  <c r="F35" i="3"/>
  <c r="C58" i="3" s="1"/>
  <c r="C59" i="3" s="1"/>
  <c r="E62" i="3" s="1"/>
  <c r="E74" i="1"/>
  <c r="D77" i="1" s="1"/>
  <c r="C59" i="1"/>
  <c r="E62" i="1" s="1"/>
  <c r="B73" i="3" l="1"/>
  <c r="E74" i="3" s="1"/>
  <c r="D77" i="3" s="1"/>
</calcChain>
</file>

<file path=xl/sharedStrings.xml><?xml version="1.0" encoding="utf-8"?>
<sst xmlns="http://schemas.openxmlformats.org/spreadsheetml/2006/main" count="343" uniqueCount="151">
  <si>
    <t>PROJECT:</t>
  </si>
  <si>
    <t>STORMWATER RUN-OFF CALCULATIONS</t>
  </si>
  <si>
    <t>Formulas used:</t>
  </si>
  <si>
    <t xml:space="preserve">[1] RATIONAL METHOD:    Q=Aci </t>
  </si>
  <si>
    <t>Peak discharge of watershed in cubic feet per second (cfs) due to maximum storm assumed.</t>
  </si>
  <si>
    <t>Area of watershed in acres.</t>
  </si>
  <si>
    <t>Coefficient of run-off [2].</t>
  </si>
  <si>
    <t>Intensity of rainfall in inches per hour based on concentration time. [3]</t>
  </si>
  <si>
    <t>Time of concentration= time required for rain falling at most remote point to reach discharge point.</t>
  </si>
  <si>
    <t>Site run-off coefficient based on conditions shown.</t>
  </si>
  <si>
    <t>Percent slope of overland flow.</t>
  </si>
  <si>
    <t xml:space="preserve">PRIOR DEVELOPMENT </t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</si>
  <si>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</si>
  <si>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</si>
  <si>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</si>
  <si>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</si>
  <si>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</si>
  <si>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</si>
  <si>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</si>
  <si>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</si>
  <si>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</si>
  <si>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</si>
  <si>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</si>
  <si>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</si>
  <si>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</si>
  <si>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</si>
  <si>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</si>
  <si>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</si>
  <si>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</si>
  <si>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</si>
  <si>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</si>
  <si>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</si>
  <si>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</si>
  <si>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</si>
  <si>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 xml:space="preserve">i = </t>
  </si>
  <si>
    <t xml:space="preserve">  in/hr</t>
  </si>
  <si>
    <t xml:space="preserve"> cfs</t>
  </si>
  <si>
    <t xml:space="preserve"> </t>
  </si>
  <si>
    <t xml:space="preserve">POST DEVELOPMENT </t>
  </si>
  <si>
    <t>DETENTION REQUIREMENTS</t>
  </si>
  <si>
    <t>cfs</t>
  </si>
  <si>
    <t>cuft</t>
  </si>
  <si>
    <t>WIDTH</t>
  </si>
  <si>
    <t>feet</t>
  </si>
  <si>
    <t>LENGTH</t>
  </si>
  <si>
    <t>DEPTH</t>
  </si>
  <si>
    <t>DISCHARGE END AREA REQUIREMENTS</t>
  </si>
  <si>
    <t xml:space="preserve">Discharge Area required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</si>
  <si>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</si>
  <si>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</si>
  <si>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</si>
  <si>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</si>
  <si>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</si>
  <si>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</si>
  <si>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</si>
  <si>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</si>
  <si>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</si>
  <si>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</si>
  <si>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</si>
  <si>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</si>
  <si>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</si>
  <si>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</si>
  <si>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</si>
  <si>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</si>
  <si>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</si>
  <si>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t>ENTERED DATA =</t>
  </si>
  <si>
    <t>The runoff coefficient C</t>
  </si>
  <si>
    <t>COMPUTED DATA=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</si>
  <si>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</si>
  <si>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</si>
  <si>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</si>
  <si>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</si>
  <si>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</si>
  <si>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</si>
  <si>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</si>
  <si>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</si>
  <si>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</si>
  <si>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</si>
  <si>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</si>
  <si>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</si>
  <si>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</si>
  <si>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</si>
  <si>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</si>
  <si>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</si>
  <si>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</si>
  <si>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</si>
  <si>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</si>
  <si>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</si>
  <si>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</si>
  <si>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</si>
  <si>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</si>
  <si>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</si>
  <si>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</si>
  <si>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</si>
  <si>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</si>
  <si>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</si>
  <si>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</si>
  <si>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</si>
  <si>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</si>
  <si>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</si>
  <si>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</si>
  <si>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</si>
  <si>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</si>
  <si>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</si>
  <si>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</si>
  <si>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r>
      <t>Q</t>
    </r>
    <r>
      <rPr>
        <b/>
        <vertAlign val="subscript"/>
        <sz val="10"/>
        <rFont val="ARchitxt"/>
      </rPr>
      <t>1</t>
    </r>
    <r>
      <rPr>
        <b/>
        <sz val="10"/>
        <rFont val="ARchitxt"/>
      </rPr>
      <t xml:space="preserve"> = Aci</t>
    </r>
  </si>
  <si>
    <r>
      <t>Q</t>
    </r>
    <r>
      <rPr>
        <b/>
        <vertAlign val="subscript"/>
        <sz val="10"/>
        <rFont val="ARchitxt"/>
      </rPr>
      <t>1</t>
    </r>
    <r>
      <rPr>
        <b/>
        <sz val="10"/>
        <rFont val="ARchitxt"/>
      </rPr>
      <t xml:space="preserve"> = </t>
    </r>
  </si>
  <si>
    <r>
      <t>Q</t>
    </r>
    <r>
      <rPr>
        <b/>
        <vertAlign val="subscript"/>
        <sz val="10"/>
        <rFont val="ARchitxt"/>
      </rPr>
      <t>2</t>
    </r>
    <r>
      <rPr>
        <b/>
        <sz val="10"/>
        <rFont val="ARchitxt"/>
      </rPr>
      <t xml:space="preserve"> = Aci</t>
    </r>
  </si>
  <si>
    <r>
      <t>Q</t>
    </r>
    <r>
      <rPr>
        <b/>
        <vertAlign val="subscript"/>
        <sz val="10"/>
        <rFont val="ARchitxt"/>
      </rPr>
      <t>2</t>
    </r>
    <r>
      <rPr>
        <b/>
        <sz val="10"/>
        <rFont val="ARchitxt"/>
      </rPr>
      <t xml:space="preserve"> = </t>
    </r>
  </si>
  <si>
    <r>
      <t xml:space="preserve">1. Chen, W.F.  </t>
    </r>
    <r>
      <rPr>
        <u/>
        <sz val="10"/>
        <rFont val="ARchitxt"/>
      </rPr>
      <t>The Civil Engineering Handbook.</t>
    </r>
    <r>
      <rPr>
        <sz val="10"/>
        <rFont val="ARchitxt"/>
      </rPr>
      <t xml:space="preserve">  1995.  Eq.# 31.1, pg. 1036</t>
    </r>
  </si>
  <si>
    <r>
      <t xml:space="preserve">2. Seelye, Elwyn E.  </t>
    </r>
    <r>
      <rPr>
        <u/>
        <sz val="10"/>
        <rFont val="ARchitxt"/>
      </rPr>
      <t>Data Book for Civil Engineers.</t>
    </r>
    <r>
      <rPr>
        <sz val="10"/>
        <rFont val="ARchitxt"/>
      </rPr>
      <t xml:space="preserve"> Vol.1  1960.  Tbl. B, pg. 18-02</t>
    </r>
  </si>
  <si>
    <r>
      <t xml:space="preserve">3. Seelye, Elwyn E.  </t>
    </r>
    <r>
      <rPr>
        <u/>
        <sz val="10"/>
        <rFont val="ARchitxt"/>
      </rPr>
      <t>Data Book for Civil Engineers.</t>
    </r>
    <r>
      <rPr>
        <sz val="10"/>
        <rFont val="ARchitxt"/>
      </rPr>
      <t xml:space="preserve"> Vol.1  1960.  Fig.B, pg. 18-01</t>
    </r>
  </si>
  <si>
    <r>
      <t xml:space="preserve">4. Chen, W.F.  </t>
    </r>
    <r>
      <rPr>
        <u/>
        <sz val="10"/>
        <rFont val="ARchitxt"/>
      </rPr>
      <t>The Civil Engineering Handbook.</t>
    </r>
    <r>
      <rPr>
        <sz val="10"/>
        <rFont val="ARchitxt"/>
      </rPr>
      <t xml:space="preserve">  1995.  Tbl. 31.2 Regan Equation (</t>
    </r>
    <r>
      <rPr>
        <i/>
        <sz val="10"/>
        <rFont val="ARchitxt"/>
      </rPr>
      <t>n</t>
    </r>
    <r>
      <rPr>
        <sz val="10"/>
        <rFont val="ARchitxt"/>
      </rPr>
      <t>=0.013)</t>
    </r>
  </si>
  <si>
    <r>
      <t xml:space="preserve">5. Chen, W.F.  </t>
    </r>
    <r>
      <rPr>
        <u/>
        <sz val="10"/>
        <rFont val="ARchitxt"/>
      </rPr>
      <t>The Civil Engineering Handbook.</t>
    </r>
    <r>
      <rPr>
        <sz val="10"/>
        <rFont val="ARchitxt"/>
      </rPr>
      <t xml:space="preserve">  1995.  Eq.# 28.32, pg. 969</t>
    </r>
  </si>
  <si>
    <t xml:space="preserve">                         [4] TC=                                    </t>
  </si>
  <si>
    <t>where:          Q=</t>
  </si>
  <si>
    <t xml:space="preserve">                   A=           </t>
  </si>
  <si>
    <t xml:space="preserve">                   c=           </t>
  </si>
  <si>
    <t xml:space="preserve">                   i=           </t>
  </si>
  <si>
    <t xml:space="preserve">where:          A= </t>
  </si>
  <si>
    <t xml:space="preserve">                   g=           </t>
  </si>
  <si>
    <t xml:space="preserve">                               [5] A=</t>
  </si>
  <si>
    <t>Q =</t>
  </si>
  <si>
    <t>One Hour Dentention</t>
  </si>
  <si>
    <t>Detention Dimensions</t>
  </si>
  <si>
    <r>
      <t>Detention required=Q</t>
    </r>
    <r>
      <rPr>
        <vertAlign val="subscript"/>
        <sz val="10"/>
        <rFont val="ARchitxt"/>
      </rPr>
      <t>2</t>
    </r>
    <r>
      <rPr>
        <sz val="10"/>
        <rFont val="ARchitxt"/>
      </rPr>
      <t>-(Q</t>
    </r>
    <r>
      <rPr>
        <vertAlign val="subscript"/>
        <sz val="10"/>
        <rFont val="ARchitxt"/>
      </rPr>
      <t>1</t>
    </r>
    <r>
      <rPr>
        <sz val="10"/>
        <rFont val="ARchitxt"/>
      </rPr>
      <t>-15%)</t>
    </r>
  </si>
  <si>
    <t>15% reduction =</t>
  </si>
  <si>
    <t xml:space="preserve">where:         TC= </t>
  </si>
  <si>
    <t xml:space="preserve">                   s=           </t>
  </si>
  <si>
    <t xml:space="preserve">10 Year Frequency </t>
  </si>
  <si>
    <t>100 Year Frequency</t>
  </si>
  <si>
    <t>10 Year Frequency</t>
  </si>
  <si>
    <t xml:space="preserve">100 Year Frequency </t>
  </si>
  <si>
    <t>EL PASO MEXICAN GRILL</t>
  </si>
  <si>
    <t>The fraction of rainfall which may be expected to become runoff</t>
  </si>
  <si>
    <t>-</t>
  </si>
  <si>
    <t>x</t>
  </si>
  <si>
    <t>Prior 10y TC =</t>
  </si>
  <si>
    <t>Post 10y TC =</t>
  </si>
  <si>
    <t>Prior 100y TC =</t>
  </si>
  <si>
    <t>Post 100y TC =</t>
  </si>
  <si>
    <t>Expected rainfall intensity @ TC</t>
  </si>
  <si>
    <r>
      <t xml:space="preserve">Expected rainfall intensity @ TC  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 xml:space="preserve"> = </t>
    </r>
  </si>
  <si>
    <t>Time</t>
  </si>
  <si>
    <r>
      <t>Q</t>
    </r>
    <r>
      <rPr>
        <b/>
        <vertAlign val="subscript"/>
        <sz val="10"/>
        <rFont val="ARchitxt"/>
      </rPr>
      <t>1</t>
    </r>
    <r>
      <rPr>
        <b/>
        <sz val="10"/>
        <rFont val="ARchitxt"/>
      </rPr>
      <t xml:space="preserve"> = C</t>
    </r>
    <r>
      <rPr>
        <b/>
        <i/>
        <sz val="10"/>
        <rFont val="ARchitxt"/>
      </rPr>
      <t>i</t>
    </r>
    <r>
      <rPr>
        <b/>
        <sz val="10"/>
        <rFont val="ARchitxt"/>
      </rPr>
      <t xml:space="preserve">A </t>
    </r>
  </si>
  <si>
    <r>
      <t>Q</t>
    </r>
    <r>
      <rPr>
        <b/>
        <vertAlign val="subscript"/>
        <sz val="10"/>
        <rFont val="ARchitxt"/>
      </rPr>
      <t>2</t>
    </r>
    <r>
      <rPr>
        <b/>
        <sz val="10"/>
        <rFont val="ARchitxt"/>
      </rPr>
      <t xml:space="preserve"> = C</t>
    </r>
    <r>
      <rPr>
        <b/>
        <i/>
        <sz val="10"/>
        <rFont val="ARchitxt"/>
      </rPr>
      <t>i</t>
    </r>
    <r>
      <rPr>
        <b/>
        <sz val="10"/>
        <rFont val="ARchitxt"/>
      </rPr>
      <t>A</t>
    </r>
  </si>
  <si>
    <r>
      <t>Q</t>
    </r>
    <r>
      <rPr>
        <b/>
        <vertAlign val="subscript"/>
        <sz val="10"/>
        <rFont val="ARchitxt"/>
      </rPr>
      <t>1</t>
    </r>
    <r>
      <rPr>
        <b/>
        <sz val="10"/>
        <rFont val="ARchitxt"/>
      </rPr>
      <t xml:space="preserve"> = C</t>
    </r>
    <r>
      <rPr>
        <b/>
        <i/>
        <sz val="10"/>
        <rFont val="ARchitxt"/>
      </rPr>
      <t>i</t>
    </r>
    <r>
      <rPr>
        <b/>
        <sz val="10"/>
        <rFont val="ARchitxt"/>
      </rPr>
      <t>A</t>
    </r>
  </si>
  <si>
    <t>Inflow cf</t>
  </si>
  <si>
    <t>Outflow cf</t>
  </si>
  <si>
    <t>10 Year Event</t>
  </si>
  <si>
    <t>Lot 3 North of El Paso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</si>
</sst>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_)"/>
    <numFmt numFmtId="165" formatCode="0.00_)"/>
    <numFmt numFmtId="166" formatCode="0.0000_)"/>
    <numFmt numFmtId="167" formatCode="0.0_)"/>
    <numFmt numFmtId="168" formatCode="0.000"/>
    <numFmt numFmtId="169" formatCode="0.0000"/>
  </numFmts>
  <fonts count="17" x14ac:knownFonts="1"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chitxt"/>
    </font>
    <font>
      <b/>
      <sz val="10"/>
      <name val="ARchitxt"/>
    </font>
    <font>
      <b/>
      <sz val="14"/>
      <name val="ARchitxt"/>
    </font>
    <font>
      <b/>
      <sz val="12"/>
      <name val="ARchitxt"/>
    </font>
    <font>
      <b/>
      <vertAlign val="subscript"/>
      <sz val="10"/>
      <name val="ARchitxt"/>
    </font>
    <font>
      <b/>
      <sz val="10"/>
      <color indexed="10"/>
      <name val="ARchitxt"/>
    </font>
    <font>
      <sz val="8"/>
      <name val="ARchitxt"/>
    </font>
    <font>
      <vertAlign val="subscript"/>
      <sz val="10"/>
      <name val="ARchitxt"/>
    </font>
    <font>
      <u/>
      <sz val="10"/>
      <name val="ARchitxt"/>
    </font>
    <font>
      <i/>
      <sz val="10"/>
      <name val="ARchitxt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chitxt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rgb="FFFF99CC"/>
        <bgColor indexed="26"/>
      </patternFill>
    </fill>
    <fill>
      <patternFill patternType="solid">
        <fgColor rgb="FFFFFF99"/>
        <bgColor indexed="29"/>
      </patternFill>
    </fill>
    <fill>
      <patternFill patternType="solid">
        <fgColor rgb="FFFF99CC"/>
        <bgColor indexed="31"/>
      </patternFill>
    </fill>
  </fills>
  <borders count="72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/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Border="1" applyAlignment="1"/>
    <xf numFmtId="0" fontId="2" fillId="0" borderId="34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2" fillId="0" borderId="3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4" borderId="39" xfId="0" applyFill="1" applyBorder="1"/>
    <xf numFmtId="0" fontId="2" fillId="0" borderId="41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" fillId="0" borderId="0" xfId="0" applyFont="1" applyFill="1"/>
    <xf numFmtId="0" fontId="1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" fillId="0" borderId="51" xfId="0" applyFont="1" applyFill="1" applyBorder="1"/>
    <xf numFmtId="0" fontId="0" fillId="0" borderId="52" xfId="0" applyBorder="1"/>
    <xf numFmtId="0" fontId="1" fillId="0" borderId="39" xfId="0" applyFont="1" applyFill="1" applyBorder="1"/>
    <xf numFmtId="0" fontId="3" fillId="0" borderId="47" xfId="0" applyFont="1" applyFill="1" applyBorder="1"/>
    <xf numFmtId="0" fontId="1" fillId="0" borderId="53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1" fillId="0" borderId="58" xfId="0" applyFont="1" applyFill="1" applyBorder="1" applyAlignment="1">
      <alignment horizontal="center"/>
    </xf>
    <xf numFmtId="2" fontId="1" fillId="0" borderId="59" xfId="0" applyNumberFormat="1" applyFont="1" applyFill="1" applyBorder="1" applyAlignment="1">
      <alignment horizontal="center"/>
    </xf>
    <xf numFmtId="2" fontId="1" fillId="0" borderId="60" xfId="0" applyNumberFormat="1" applyFont="1" applyFill="1" applyBorder="1" applyAlignment="1">
      <alignment horizontal="center"/>
    </xf>
    <xf numFmtId="0" fontId="1" fillId="0" borderId="61" xfId="0" applyFont="1" applyFill="1" applyBorder="1" applyAlignment="1">
      <alignment horizontal="center"/>
    </xf>
    <xf numFmtId="0" fontId="3" fillId="0" borderId="62" xfId="0" applyFont="1" applyFill="1" applyBorder="1"/>
    <xf numFmtId="0" fontId="1" fillId="0" borderId="62" xfId="0" applyFont="1" applyFill="1" applyBorder="1"/>
    <xf numFmtId="0" fontId="1" fillId="0" borderId="63" xfId="0" applyFont="1" applyFill="1" applyBorder="1"/>
    <xf numFmtId="0" fontId="0" fillId="0" borderId="31" xfId="0" applyBorder="1"/>
    <xf numFmtId="0" fontId="0" fillId="0" borderId="54" xfId="0" applyBorder="1"/>
    <xf numFmtId="0" fontId="1" fillId="0" borderId="42" xfId="0" applyFont="1" applyFill="1" applyBorder="1"/>
    <xf numFmtId="0" fontId="1" fillId="0" borderId="64" xfId="0" applyFont="1" applyFill="1" applyBorder="1" applyAlignment="1">
      <alignment horizontal="center"/>
    </xf>
    <xf numFmtId="2" fontId="1" fillId="0" borderId="65" xfId="0" applyNumberFormat="1" applyFont="1" applyFill="1" applyBorder="1" applyAlignment="1">
      <alignment horizontal="center"/>
    </xf>
    <xf numFmtId="2" fontId="1" fillId="0" borderId="66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1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</xf>
    <xf numFmtId="0" fontId="4" fillId="0" borderId="0" xfId="0" applyFont="1" applyBorder="1"/>
    <xf numFmtId="0" fontId="4" fillId="0" borderId="0" xfId="0" applyFont="1" applyFill="1"/>
    <xf numFmtId="0" fontId="4" fillId="0" borderId="4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left" vertical="top"/>
    </xf>
    <xf numFmtId="0" fontId="5" fillId="0" borderId="8" xfId="0" applyFont="1" applyFill="1" applyBorder="1" applyAlignment="1" applyProtection="1">
      <alignment horizontal="left"/>
    </xf>
    <xf numFmtId="0" fontId="4" fillId="0" borderId="0" xfId="0" applyFont="1" applyFill="1" applyBorder="1"/>
    <xf numFmtId="0" fontId="4" fillId="0" borderId="9" xfId="0" applyFont="1" applyFill="1" applyBorder="1"/>
    <xf numFmtId="0" fontId="4" fillId="0" borderId="0" xfId="0" applyFont="1" applyFill="1" applyBorder="1" applyProtection="1"/>
    <xf numFmtId="0" fontId="4" fillId="3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164" fontId="4" fillId="4" borderId="0" xfId="0" applyNumberFormat="1" applyFont="1" applyFill="1" applyBorder="1" applyProtection="1"/>
    <xf numFmtId="0" fontId="4" fillId="0" borderId="9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right"/>
    </xf>
    <xf numFmtId="0" fontId="4" fillId="2" borderId="14" xfId="0" applyFont="1" applyFill="1" applyBorder="1" applyProtection="1">
      <protection locked="0"/>
    </xf>
    <xf numFmtId="0" fontId="4" fillId="0" borderId="14" xfId="0" applyFont="1" applyFill="1" applyBorder="1"/>
    <xf numFmtId="0" fontId="4" fillId="0" borderId="15" xfId="0" applyFont="1" applyFill="1" applyBorder="1"/>
    <xf numFmtId="0" fontId="4" fillId="4" borderId="0" xfId="0" applyFont="1" applyFill="1" applyBorder="1" applyProtection="1"/>
    <xf numFmtId="165" fontId="4" fillId="4" borderId="14" xfId="0" applyNumberFormat="1" applyFont="1" applyFill="1" applyBorder="1" applyProtection="1"/>
    <xf numFmtId="0" fontId="4" fillId="0" borderId="14" xfId="0" applyFont="1" applyFill="1" applyBorder="1" applyProtection="1"/>
    <xf numFmtId="0" fontId="4" fillId="0" borderId="14" xfId="0" applyFont="1" applyFill="1" applyBorder="1" applyAlignment="1" applyProtection="1">
      <alignment horizontal="right"/>
    </xf>
    <xf numFmtId="0" fontId="4" fillId="0" borderId="8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/>
    <xf numFmtId="165" fontId="4" fillId="4" borderId="0" xfId="0" applyNumberFormat="1" applyFont="1" applyFill="1" applyBorder="1" applyAlignment="1" applyProtection="1">
      <alignment horizontal="left"/>
    </xf>
    <xf numFmtId="166" fontId="4" fillId="4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Protection="1"/>
    <xf numFmtId="0" fontId="4" fillId="0" borderId="8" xfId="0" applyFont="1" applyFill="1" applyBorder="1" applyAlignment="1" applyProtection="1">
      <alignment horizontal="left" wrapText="1"/>
    </xf>
    <xf numFmtId="165" fontId="4" fillId="2" borderId="0" xfId="0" applyNumberFormat="1" applyFont="1" applyFill="1" applyBorder="1" applyAlignment="1" applyProtection="1">
      <alignment horizontal="left"/>
      <protection locked="0"/>
    </xf>
    <xf numFmtId="0" fontId="5" fillId="0" borderId="16" xfId="0" applyFont="1" applyFill="1" applyBorder="1" applyAlignment="1" applyProtection="1">
      <alignment horizontal="right"/>
    </xf>
    <xf numFmtId="164" fontId="9" fillId="4" borderId="17" xfId="0" applyNumberFormat="1" applyFont="1" applyFill="1" applyBorder="1" applyProtection="1"/>
    <xf numFmtId="0" fontId="9" fillId="0" borderId="18" xfId="0" applyFont="1" applyFill="1" applyBorder="1" applyAlignment="1" applyProtection="1">
      <alignment horizontal="left"/>
    </xf>
    <xf numFmtId="0" fontId="4" fillId="0" borderId="19" xfId="0" applyFont="1" applyFill="1" applyBorder="1" applyAlignment="1"/>
    <xf numFmtId="164" fontId="9" fillId="4" borderId="20" xfId="0" applyNumberFormat="1" applyFont="1" applyFill="1" applyBorder="1" applyProtection="1"/>
    <xf numFmtId="0" fontId="9" fillId="0" borderId="21" xfId="0" applyFont="1" applyFill="1" applyBorder="1" applyAlignment="1" applyProtection="1">
      <alignment horizontal="left"/>
    </xf>
    <xf numFmtId="0" fontId="4" fillId="4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22" xfId="0" applyFont="1" applyFill="1" applyBorder="1" applyAlignment="1"/>
    <xf numFmtId="164" fontId="9" fillId="0" borderId="22" xfId="0" applyNumberFormat="1" applyFont="1" applyFill="1" applyBorder="1" applyProtection="1"/>
    <xf numFmtId="0" fontId="9" fillId="0" borderId="23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/>
    </xf>
    <xf numFmtId="2" fontId="4" fillId="4" borderId="0" xfId="0" applyNumberFormat="1" applyFont="1" applyFill="1" applyBorder="1" applyProtection="1"/>
    <xf numFmtId="167" fontId="4" fillId="4" borderId="0" xfId="0" applyNumberFormat="1" applyFont="1" applyFill="1" applyBorder="1" applyProtection="1"/>
    <xf numFmtId="0" fontId="4" fillId="0" borderId="24" xfId="0" applyFont="1" applyFill="1" applyBorder="1"/>
    <xf numFmtId="0" fontId="4" fillId="0" borderId="25" xfId="0" applyFont="1" applyFill="1" applyBorder="1"/>
    <xf numFmtId="0" fontId="4" fillId="0" borderId="26" xfId="0" applyFont="1" applyFill="1" applyBorder="1"/>
    <xf numFmtId="0" fontId="4" fillId="0" borderId="26" xfId="0" applyFont="1" applyFill="1" applyBorder="1" applyAlignment="1" applyProtection="1">
      <alignment horizontal="left"/>
    </xf>
    <xf numFmtId="165" fontId="9" fillId="4" borderId="26" xfId="0" applyNumberFormat="1" applyFont="1" applyFill="1" applyBorder="1" applyProtection="1"/>
    <xf numFmtId="0" fontId="9" fillId="0" borderId="26" xfId="0" applyFont="1" applyFill="1" applyBorder="1" applyAlignment="1" applyProtection="1">
      <alignment horizontal="left"/>
    </xf>
    <xf numFmtId="0" fontId="4" fillId="0" borderId="27" xfId="0" applyFont="1" applyFill="1" applyBorder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/>
    <xf numFmtId="0" fontId="4" fillId="0" borderId="9" xfId="0" applyFont="1" applyBorder="1" applyAlignment="1"/>
    <xf numFmtId="0" fontId="4" fillId="0" borderId="8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4" fillId="0" borderId="31" xfId="0" applyFont="1" applyBorder="1" applyAlignment="1"/>
    <xf numFmtId="0" fontId="4" fillId="0" borderId="10" xfId="0" applyFont="1" applyBorder="1" applyAlignment="1"/>
    <xf numFmtId="0" fontId="4" fillId="2" borderId="0" xfId="0" applyFont="1" applyFill="1" applyBorder="1" applyProtection="1"/>
    <xf numFmtId="168" fontId="4" fillId="4" borderId="0" xfId="0" applyNumberFormat="1" applyFont="1" applyFill="1" applyBorder="1" applyProtection="1"/>
    <xf numFmtId="0" fontId="9" fillId="0" borderId="16" xfId="0" applyFont="1" applyFill="1" applyBorder="1" applyAlignment="1" applyProtection="1">
      <alignment horizontal="left"/>
    </xf>
    <xf numFmtId="0" fontId="4" fillId="0" borderId="22" xfId="0" applyFont="1" applyFill="1" applyBorder="1"/>
    <xf numFmtId="0" fontId="9" fillId="0" borderId="22" xfId="0" applyFont="1" applyFill="1" applyBorder="1" applyAlignment="1" applyProtection="1">
      <alignment horizontal="left"/>
    </xf>
    <xf numFmtId="0" fontId="4" fillId="0" borderId="23" xfId="0" applyFont="1" applyFill="1" applyBorder="1"/>
    <xf numFmtId="0" fontId="5" fillId="0" borderId="4" xfId="0" applyFont="1" applyFill="1" applyBorder="1" applyAlignment="1" applyProtection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68" xfId="0" applyFont="1" applyFill="1" applyBorder="1" applyAlignment="1" applyProtection="1">
      <alignment horizontal="left"/>
    </xf>
    <xf numFmtId="0" fontId="4" fillId="0" borderId="69" xfId="0" applyFont="1" applyBorder="1"/>
    <xf numFmtId="0" fontId="4" fillId="0" borderId="69" xfId="0" applyFont="1" applyFill="1" applyBorder="1" applyAlignment="1" applyProtection="1">
      <alignment horizontal="left"/>
    </xf>
    <xf numFmtId="0" fontId="4" fillId="3" borderId="69" xfId="0" applyFont="1" applyFill="1" applyBorder="1" applyProtection="1">
      <protection locked="0"/>
    </xf>
    <xf numFmtId="0" fontId="4" fillId="0" borderId="67" xfId="0" applyFont="1" applyFill="1" applyBorder="1"/>
    <xf numFmtId="2" fontId="4" fillId="2" borderId="14" xfId="0" applyNumberFormat="1" applyFont="1" applyFill="1" applyBorder="1" applyProtection="1">
      <protection locked="0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9" fontId="0" fillId="0" borderId="0" xfId="0" applyNumberFormat="1"/>
    <xf numFmtId="165" fontId="4" fillId="6" borderId="0" xfId="0" applyNumberFormat="1" applyFont="1" applyFill="1" applyBorder="1" applyProtection="1">
      <protection locked="0"/>
    </xf>
    <xf numFmtId="165" fontId="9" fillId="7" borderId="32" xfId="0" applyNumberFormat="1" applyFont="1" applyFill="1" applyBorder="1" applyProtection="1"/>
    <xf numFmtId="0" fontId="14" fillId="0" borderId="0" xfId="0" applyFont="1"/>
    <xf numFmtId="0" fontId="13" fillId="0" borderId="0" xfId="0" applyFont="1" applyFill="1" applyBorder="1" applyAlignment="1" applyProtection="1">
      <alignment horizontal="right"/>
    </xf>
    <xf numFmtId="2" fontId="9" fillId="4" borderId="17" xfId="0" applyNumberFormat="1" applyFont="1" applyFill="1" applyBorder="1" applyProtection="1"/>
    <xf numFmtId="2" fontId="4" fillId="8" borderId="0" xfId="0" applyNumberFormat="1" applyFont="1" applyFill="1" applyBorder="1" applyAlignment="1" applyProtection="1">
      <alignment horizontal="left"/>
      <protection locked="0"/>
    </xf>
    <xf numFmtId="2" fontId="4" fillId="4" borderId="14" xfId="0" applyNumberFormat="1" applyFont="1" applyFill="1" applyBorder="1" applyProtection="1"/>
    <xf numFmtId="0" fontId="5" fillId="0" borderId="71" xfId="0" applyFont="1" applyFill="1" applyBorder="1" applyAlignment="1" applyProtection="1">
      <alignment horizontal="left"/>
    </xf>
    <xf numFmtId="164" fontId="9" fillId="0" borderId="20" xfId="0" applyNumberFormat="1" applyFont="1" applyFill="1" applyBorder="1" applyProtection="1"/>
    <xf numFmtId="0" fontId="4" fillId="0" borderId="9" xfId="0" applyFont="1" applyBorder="1" applyAlignment="1">
      <alignment horizontal="left" vertical="top"/>
    </xf>
    <xf numFmtId="0" fontId="6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left" vertical="top" wrapText="1"/>
    </xf>
    <xf numFmtId="0" fontId="4" fillId="0" borderId="9" xfId="0" applyFont="1" applyFill="1" applyBorder="1" applyAlignment="1" applyProtection="1">
      <alignment horizontal="left" vertical="top"/>
    </xf>
    <xf numFmtId="0" fontId="4" fillId="0" borderId="12" xfId="0" applyFont="1" applyFill="1" applyBorder="1" applyAlignment="1" applyProtection="1">
      <alignment horizontal="center"/>
    </xf>
    <xf numFmtId="0" fontId="4" fillId="0" borderId="9" xfId="0" applyFont="1" applyBorder="1" applyAlignment="1">
      <alignment horizontal="left" vertical="top" wrapText="1"/>
    </xf>
    <xf numFmtId="0" fontId="7" fillId="2" borderId="7" xfId="0" applyFont="1" applyFill="1" applyBorder="1" applyAlignment="1" applyProtection="1">
      <alignment horizontal="left" vertical="center"/>
    </xf>
    <xf numFmtId="0" fontId="4" fillId="0" borderId="10" xfId="0" applyFont="1" applyBorder="1" applyAlignment="1">
      <alignment horizontal="left" vertical="top" wrapText="1"/>
    </xf>
    <xf numFmtId="0" fontId="5" fillId="0" borderId="11" xfId="0" applyFont="1" applyFill="1" applyBorder="1" applyAlignment="1" applyProtection="1">
      <alignment horizontal="center"/>
    </xf>
    <xf numFmtId="0" fontId="4" fillId="0" borderId="70" xfId="0" applyFont="1" applyFill="1" applyBorder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/>
    </xf>
    <xf numFmtId="0" fontId="4" fillId="0" borderId="17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0" borderId="69" xfId="0" applyFont="1" applyFill="1" applyBorder="1" applyAlignment="1" applyProtection="1">
      <alignment horizontal="right"/>
    </xf>
    <xf numFmtId="0" fontId="0" fillId="0" borderId="69" xfId="0" applyBorder="1" applyAlignment="1"/>
    <xf numFmtId="0" fontId="4" fillId="0" borderId="7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7" xfId="0" applyFont="1" applyBorder="1"/>
    <xf numFmtId="0" fontId="7" fillId="5" borderId="29" xfId="0" applyFont="1" applyFill="1" applyBorder="1" applyAlignment="1" applyProtection="1">
      <alignment horizontal="left" vertical="center"/>
    </xf>
    <xf numFmtId="0" fontId="4" fillId="0" borderId="7" xfId="0" applyFont="1" applyBorder="1" applyAlignment="1"/>
    <xf numFmtId="0" fontId="4" fillId="0" borderId="1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3" fillId="0" borderId="37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 applyProtection="1">
      <alignment horizontal="left"/>
    </xf>
    <xf numFmtId="0" fontId="3" fillId="0" borderId="2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CC"/>
      <color rgb="FFFFFF99"/>
      <color rgb="FFFF00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2" name="Graphic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76400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3" name="Graphic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60145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workbookViewId="0">
      <selection activeCell="B74" sqref="B74"/>
    </sheetView>
  </sheetViews>
  <sheetFormatPr defaultRowHeight="12.75" x14ac:dyDescent="0.2"/>
  <cols>
    <col min="1" max="1" width="17.140625" customWidth="1"/>
    <col min="2" max="2" width="14.42578125" customWidth="1"/>
    <col min="3" max="3" width="12.285156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s="43" customFormat="1" ht="18.75" x14ac:dyDescent="0.3">
      <c r="A1" s="44" t="s">
        <v>0</v>
      </c>
      <c r="B1" s="139" t="s">
        <v>150</v>
      </c>
      <c r="C1" s="139"/>
      <c r="D1" s="139"/>
      <c r="E1" s="139"/>
      <c r="F1" s="139"/>
      <c r="G1" s="139"/>
      <c r="H1" s="45"/>
      <c r="I1" s="46"/>
      <c r="J1" s="47"/>
      <c r="K1" s="46"/>
      <c r="L1" s="46"/>
      <c r="M1" s="46"/>
      <c r="N1" s="46"/>
      <c r="O1" s="46"/>
      <c r="P1" s="46"/>
      <c r="Q1" s="46"/>
    </row>
    <row r="2" spans="1:17" s="43" customFormat="1" x14ac:dyDescent="0.2">
      <c r="A2" s="140" t="s">
        <v>1</v>
      </c>
      <c r="B2" s="140"/>
      <c r="C2" s="140"/>
      <c r="D2" s="140"/>
      <c r="E2" s="140"/>
      <c r="F2" s="140"/>
      <c r="G2" s="140"/>
    </row>
    <row r="3" spans="1:17" s="43" customFormat="1" x14ac:dyDescent="0.2">
      <c r="A3" s="48" t="s">
        <v>2</v>
      </c>
      <c r="B3" s="49"/>
      <c r="C3" s="49"/>
      <c r="D3" s="49"/>
      <c r="E3" s="50"/>
      <c r="F3" s="50"/>
      <c r="G3" s="51"/>
    </row>
    <row r="4" spans="1:17" s="43" customFormat="1" ht="20.25" customHeight="1" x14ac:dyDescent="0.2">
      <c r="A4" s="141" t="s">
        <v>3</v>
      </c>
      <c r="B4" s="141"/>
      <c r="C4" s="141"/>
      <c r="D4" s="141"/>
      <c r="E4" s="141"/>
      <c r="F4" s="141"/>
      <c r="G4" s="141"/>
    </row>
    <row r="5" spans="1:17" s="43" customFormat="1" ht="12.75" customHeight="1" x14ac:dyDescent="0.2">
      <c r="A5" s="52" t="s">
        <v>115</v>
      </c>
      <c r="B5" s="142" t="s">
        <v>4</v>
      </c>
      <c r="C5" s="142"/>
      <c r="D5" s="142"/>
      <c r="E5" s="142"/>
      <c r="F5" s="142"/>
      <c r="G5" s="142"/>
    </row>
    <row r="6" spans="1:17" s="43" customFormat="1" x14ac:dyDescent="0.2">
      <c r="A6" s="53"/>
      <c r="B6" s="142"/>
      <c r="C6" s="142"/>
      <c r="D6" s="142"/>
      <c r="E6" s="142"/>
      <c r="F6" s="142"/>
      <c r="G6" s="142"/>
    </row>
    <row r="7" spans="1:17" s="43" customFormat="1" x14ac:dyDescent="0.2">
      <c r="A7" s="54" t="s">
        <v>116</v>
      </c>
      <c r="B7" s="143" t="s">
        <v>5</v>
      </c>
      <c r="C7" s="143"/>
      <c r="D7" s="143"/>
      <c r="E7" s="143"/>
      <c r="F7" s="143"/>
      <c r="G7" s="143"/>
    </row>
    <row r="8" spans="1:17" s="43" customFormat="1" x14ac:dyDescent="0.2">
      <c r="A8" s="54" t="s">
        <v>117</v>
      </c>
      <c r="B8" s="138" t="s">
        <v>6</v>
      </c>
      <c r="C8" s="138"/>
      <c r="D8" s="138"/>
      <c r="E8" s="138"/>
      <c r="F8" s="138"/>
      <c r="G8" s="138"/>
    </row>
    <row r="9" spans="1:17" s="43" customFormat="1" ht="12.75" customHeight="1" x14ac:dyDescent="0.2">
      <c r="A9" s="54" t="s">
        <v>118</v>
      </c>
      <c r="B9" s="145" t="s">
        <v>7</v>
      </c>
      <c r="C9" s="145"/>
      <c r="D9" s="145"/>
      <c r="E9" s="145"/>
      <c r="F9" s="145"/>
      <c r="G9" s="145"/>
      <c r="I9" s="43" t="s">
        <v>37</v>
      </c>
    </row>
    <row r="10" spans="1:17" s="43" customFormat="1" ht="44.85" customHeight="1" x14ac:dyDescent="0.2">
      <c r="A10" s="146" t="s">
        <v>114</v>
      </c>
      <c r="B10" s="146"/>
      <c r="C10" s="146"/>
      <c r="D10" s="146"/>
      <c r="E10" s="146"/>
      <c r="F10" s="146"/>
      <c r="G10" s="146"/>
    </row>
    <row r="11" spans="1:17" s="43" customFormat="1" ht="12.75" customHeight="1" x14ac:dyDescent="0.2">
      <c r="A11" s="52" t="s">
        <v>127</v>
      </c>
      <c r="B11" s="142" t="s">
        <v>8</v>
      </c>
      <c r="C11" s="142"/>
      <c r="D11" s="142"/>
      <c r="E11" s="142"/>
      <c r="F11" s="142"/>
      <c r="G11" s="142"/>
    </row>
    <row r="12" spans="1:17" s="43" customFormat="1" ht="12.75" customHeight="1" x14ac:dyDescent="0.2">
      <c r="A12" s="53"/>
      <c r="B12" s="142"/>
      <c r="C12" s="142"/>
      <c r="D12" s="142"/>
      <c r="E12" s="142"/>
      <c r="F12" s="142"/>
      <c r="G12" s="142"/>
    </row>
    <row r="13" spans="1:17" s="43" customFormat="1" ht="12.75" customHeight="1" x14ac:dyDescent="0.2">
      <c r="A13" s="54" t="s">
        <v>117</v>
      </c>
      <c r="B13" s="138" t="s">
        <v>9</v>
      </c>
      <c r="C13" s="138"/>
      <c r="D13" s="138"/>
      <c r="E13" s="138"/>
      <c r="F13" s="138"/>
      <c r="G13" s="138"/>
    </row>
    <row r="14" spans="1:17" s="43" customFormat="1" ht="12.75" customHeight="1" x14ac:dyDescent="0.2">
      <c r="A14" s="54" t="s">
        <v>128</v>
      </c>
      <c r="B14" s="147" t="s">
        <v>10</v>
      </c>
      <c r="C14" s="147"/>
      <c r="D14" s="147"/>
      <c r="E14" s="147"/>
      <c r="F14" s="147"/>
      <c r="G14" s="147"/>
    </row>
    <row r="15" spans="1:17" s="43" customFormat="1" x14ac:dyDescent="0.2">
      <c r="A15" s="148" t="s">
        <v>11</v>
      </c>
      <c r="B15" s="148"/>
      <c r="C15" s="148"/>
      <c r="D15" s="148"/>
      <c r="E15" s="148"/>
      <c r="F15" s="148"/>
      <c r="G15" s="148"/>
    </row>
    <row r="16" spans="1:17" s="43" customFormat="1" ht="13.5" thickBot="1" x14ac:dyDescent="0.25">
      <c r="A16" s="149" t="s">
        <v>129</v>
      </c>
      <c r="B16" s="149"/>
      <c r="C16" s="149"/>
      <c r="D16" s="149"/>
      <c r="E16" s="149"/>
      <c r="F16" s="149"/>
      <c r="G16" s="149"/>
    </row>
    <row r="17" spans="1:7" s="43" customFormat="1" ht="15.75" thickTop="1" thickBot="1" x14ac:dyDescent="0.3">
      <c r="A17" s="136" t="s">
        <v>146</v>
      </c>
      <c r="B17" s="56"/>
      <c r="C17" s="56"/>
      <c r="D17" s="56"/>
      <c r="E17" s="56"/>
      <c r="F17" s="56"/>
      <c r="G17" s="57"/>
    </row>
    <row r="18" spans="1:7" s="43" customFormat="1" x14ac:dyDescent="0.2">
      <c r="A18" s="52" t="s">
        <v>12</v>
      </c>
      <c r="B18" s="56"/>
      <c r="C18" s="58"/>
      <c r="D18" s="59">
        <v>15606</v>
      </c>
      <c r="E18" s="60" t="s">
        <v>13</v>
      </c>
      <c r="F18" s="111">
        <f>D18/43560</f>
        <v>0.35799999999999998</v>
      </c>
      <c r="G18" s="62" t="s">
        <v>14</v>
      </c>
    </row>
    <row r="19" spans="1:7" s="43" customFormat="1" x14ac:dyDescent="0.2">
      <c r="A19" s="63" t="s">
        <v>15</v>
      </c>
      <c r="B19" s="64">
        <v>0.95</v>
      </c>
      <c r="C19" s="65"/>
      <c r="D19" s="65"/>
      <c r="E19" s="65"/>
      <c r="F19" s="65"/>
      <c r="G19" s="66"/>
    </row>
    <row r="20" spans="1:7" s="43" customFormat="1" x14ac:dyDescent="0.2">
      <c r="A20" s="52" t="s">
        <v>16</v>
      </c>
      <c r="B20" s="56"/>
      <c r="C20" s="56"/>
      <c r="D20" s="59">
        <v>8100</v>
      </c>
      <c r="E20" s="60" t="s">
        <v>13</v>
      </c>
      <c r="F20" s="111">
        <f>D20/43560</f>
        <v>0.186</v>
      </c>
      <c r="G20" s="62" t="s">
        <v>14</v>
      </c>
    </row>
    <row r="21" spans="1:7" s="43" customFormat="1" x14ac:dyDescent="0.2">
      <c r="A21" s="63" t="s">
        <v>17</v>
      </c>
      <c r="B21" s="64">
        <v>0.25</v>
      </c>
      <c r="C21" s="65"/>
      <c r="D21" s="65"/>
      <c r="E21" s="65"/>
      <c r="F21" s="65"/>
      <c r="G21" s="66"/>
    </row>
    <row r="22" spans="1:7" s="43" customFormat="1" x14ac:dyDescent="0.2">
      <c r="A22" s="52" t="s">
        <v>18</v>
      </c>
      <c r="B22" s="56"/>
      <c r="C22" s="56"/>
      <c r="D22" s="59">
        <v>58784</v>
      </c>
      <c r="E22" s="60" t="s">
        <v>19</v>
      </c>
      <c r="F22" s="111">
        <f>D22/43560</f>
        <v>1.349</v>
      </c>
      <c r="G22" s="62" t="s">
        <v>14</v>
      </c>
    </row>
    <row r="23" spans="1:7" s="43" customFormat="1" x14ac:dyDescent="0.2">
      <c r="A23" s="63" t="s">
        <v>20</v>
      </c>
      <c r="B23" s="124">
        <v>0.2</v>
      </c>
      <c r="C23" s="65"/>
      <c r="D23" s="65"/>
      <c r="E23" s="65"/>
      <c r="F23" s="65"/>
      <c r="G23" s="66"/>
    </row>
    <row r="24" spans="1:7" s="43" customFormat="1" x14ac:dyDescent="0.2">
      <c r="A24" s="52" t="s">
        <v>21</v>
      </c>
      <c r="B24" s="56"/>
      <c r="C24" s="56"/>
      <c r="D24" s="67">
        <f>D18+D20+D22</f>
        <v>82490</v>
      </c>
      <c r="E24" s="60" t="s">
        <v>13</v>
      </c>
      <c r="F24" s="111">
        <f>ROUND(F18+F20+F22,3)</f>
        <v>1.893</v>
      </c>
      <c r="G24" s="62" t="s">
        <v>14</v>
      </c>
    </row>
    <row r="25" spans="1:7" s="43" customFormat="1" ht="14.25" customHeight="1" x14ac:dyDescent="0.2">
      <c r="A25" s="63" t="s">
        <v>22</v>
      </c>
      <c r="B25" s="135">
        <f>(D18/D24*B19)+(D20/D24*B21)+(D22/D24*B23)</f>
        <v>0.35</v>
      </c>
      <c r="C25" s="69"/>
      <c r="D25" s="65"/>
      <c r="E25" s="70"/>
      <c r="F25" s="65"/>
      <c r="G25" s="66"/>
    </row>
    <row r="26" spans="1:7" s="43" customFormat="1" x14ac:dyDescent="0.2">
      <c r="A26" s="71"/>
      <c r="B26" s="72"/>
      <c r="C26" s="56"/>
      <c r="D26" s="56"/>
      <c r="E26" s="56"/>
      <c r="F26" s="56"/>
      <c r="G26" s="57"/>
    </row>
    <row r="27" spans="1:7" s="43" customFormat="1" x14ac:dyDescent="0.2">
      <c r="A27" s="52"/>
      <c r="B27" s="60"/>
      <c r="C27" s="72"/>
      <c r="D27" s="60"/>
      <c r="E27" s="72"/>
      <c r="F27" s="60"/>
      <c r="G27" s="62"/>
    </row>
    <row r="28" spans="1:7" s="43" customFormat="1" x14ac:dyDescent="0.2">
      <c r="A28" s="52" t="s">
        <v>23</v>
      </c>
      <c r="B28" s="72"/>
      <c r="C28" s="72"/>
      <c r="D28" s="72"/>
      <c r="E28" s="72"/>
      <c r="F28" s="72"/>
      <c r="G28" s="62"/>
    </row>
    <row r="29" spans="1:7" s="43" customFormat="1" x14ac:dyDescent="0.2">
      <c r="A29" s="52" t="s">
        <v>24</v>
      </c>
      <c r="B29" s="60" t="s">
        <v>25</v>
      </c>
      <c r="C29" s="73">
        <v>348</v>
      </c>
      <c r="D29" s="72" t="s">
        <v>26</v>
      </c>
      <c r="E29" s="56"/>
      <c r="F29" s="72" t="s">
        <v>27</v>
      </c>
      <c r="G29" s="74">
        <v>1.25</v>
      </c>
    </row>
    <row r="30" spans="1:7" s="43" customFormat="1" x14ac:dyDescent="0.2">
      <c r="A30" s="75"/>
      <c r="B30" s="60" t="s">
        <v>22</v>
      </c>
      <c r="C30" s="76">
        <f>B25</f>
        <v>0.35</v>
      </c>
      <c r="D30" s="72" t="s">
        <v>28</v>
      </c>
      <c r="E30" s="56"/>
      <c r="F30" s="56"/>
      <c r="G30" s="57"/>
    </row>
    <row r="31" spans="1:7" s="43" customFormat="1" x14ac:dyDescent="0.2">
      <c r="A31" s="75"/>
      <c r="B31" s="60" t="s">
        <v>29</v>
      </c>
      <c r="C31" s="77">
        <f>G29/C29*100</f>
        <v>0.35920000000000002</v>
      </c>
      <c r="D31" s="72" t="s">
        <v>30</v>
      </c>
      <c r="E31" s="56"/>
      <c r="F31" s="56"/>
      <c r="G31" s="57"/>
    </row>
    <row r="32" spans="1:7" s="43" customFormat="1" ht="12.75" customHeight="1" x14ac:dyDescent="0.2">
      <c r="A32" s="52" t="s">
        <v>31</v>
      </c>
      <c r="B32" s="60" t="s">
        <v>32</v>
      </c>
      <c r="C32" s="76">
        <f>(C29^0.8*(1000/B25-9)^0.7)/1140*(C31^0.5)</f>
        <v>14.87</v>
      </c>
      <c r="D32" s="72" t="s">
        <v>33</v>
      </c>
      <c r="E32" s="78"/>
      <c r="F32" s="72"/>
      <c r="G32" s="57"/>
    </row>
    <row r="33" spans="1:17" s="43" customFormat="1" ht="25.5" customHeight="1" x14ac:dyDescent="0.2">
      <c r="A33" s="79" t="s">
        <v>141</v>
      </c>
      <c r="B33" s="132" t="s">
        <v>34</v>
      </c>
      <c r="C33" s="134">
        <f>'Intensity calcs'!K26</f>
        <v>6.17</v>
      </c>
      <c r="D33" s="72" t="s">
        <v>35</v>
      </c>
      <c r="E33" s="56"/>
      <c r="F33" s="56"/>
      <c r="G33" s="57"/>
    </row>
    <row r="34" spans="1:17" s="43" customFormat="1" ht="13.5" thickBot="1" x14ac:dyDescent="0.25">
      <c r="A34" s="75"/>
      <c r="B34" s="56"/>
      <c r="C34" s="56"/>
      <c r="D34" s="56"/>
      <c r="E34" s="56"/>
      <c r="F34" s="56"/>
      <c r="G34" s="57"/>
    </row>
    <row r="35" spans="1:17" s="43" customFormat="1" ht="15" thickBot="1" x14ac:dyDescent="0.3">
      <c r="A35" s="81" t="s">
        <v>144</v>
      </c>
      <c r="B35" s="133">
        <f>ROUND(F24*B25*C33,2)</f>
        <v>4.09</v>
      </c>
      <c r="C35" s="83" t="s">
        <v>36</v>
      </c>
      <c r="D35" s="151"/>
      <c r="E35" s="152"/>
      <c r="F35" s="137"/>
      <c r="G35" s="86"/>
    </row>
    <row r="36" spans="1:17" s="43" customFormat="1" ht="13.5" thickTop="1" x14ac:dyDescent="0.2">
      <c r="A36" s="148" t="s">
        <v>38</v>
      </c>
      <c r="B36" s="148"/>
      <c r="C36" s="148"/>
      <c r="D36" s="148"/>
      <c r="E36" s="148"/>
      <c r="F36" s="148"/>
      <c r="G36" s="148"/>
    </row>
    <row r="37" spans="1:17" s="43" customFormat="1" ht="13.5" thickBot="1" x14ac:dyDescent="0.25">
      <c r="A37" s="149" t="s">
        <v>129</v>
      </c>
      <c r="B37" s="149"/>
      <c r="C37" s="149"/>
      <c r="D37" s="149"/>
      <c r="E37" s="149"/>
      <c r="F37" s="149"/>
      <c r="G37" s="149"/>
    </row>
    <row r="38" spans="1:17" s="43" customFormat="1" ht="15.6" customHeight="1" thickTop="1" thickBot="1" x14ac:dyDescent="0.3">
      <c r="A38" s="136" t="s">
        <v>145</v>
      </c>
      <c r="B38" s="56"/>
      <c r="C38" s="56"/>
      <c r="D38" s="56"/>
      <c r="E38" s="56"/>
      <c r="F38" s="56"/>
      <c r="G38" s="57"/>
    </row>
    <row r="39" spans="1:17" s="43" customFormat="1" ht="13.35" customHeight="1" x14ac:dyDescent="0.2">
      <c r="A39" s="52" t="s">
        <v>12</v>
      </c>
      <c r="B39" s="56"/>
      <c r="C39" s="58"/>
      <c r="D39" s="59">
        <v>59133</v>
      </c>
      <c r="E39" s="60" t="s">
        <v>13</v>
      </c>
      <c r="F39" s="111">
        <f>D39/43560</f>
        <v>1.3580000000000001</v>
      </c>
      <c r="G39" s="62" t="s">
        <v>14</v>
      </c>
    </row>
    <row r="40" spans="1:17" s="43" customFormat="1" ht="12.75" customHeight="1" x14ac:dyDescent="0.2">
      <c r="A40" s="63" t="s">
        <v>15</v>
      </c>
      <c r="B40" s="64">
        <v>0.95</v>
      </c>
      <c r="C40" s="65"/>
      <c r="D40" s="65"/>
      <c r="E40" s="65"/>
      <c r="F40" s="65"/>
      <c r="G40" s="66"/>
    </row>
    <row r="41" spans="1:17" s="43" customFormat="1" ht="12.75" customHeight="1" x14ac:dyDescent="0.2">
      <c r="A41" s="52" t="s">
        <v>16</v>
      </c>
      <c r="B41" s="56"/>
      <c r="C41" s="56"/>
      <c r="D41" s="59">
        <v>0</v>
      </c>
      <c r="E41" s="60" t="s">
        <v>13</v>
      </c>
      <c r="F41" s="111">
        <f>D41/43560</f>
        <v>0</v>
      </c>
      <c r="G41" s="62" t="s">
        <v>14</v>
      </c>
    </row>
    <row r="42" spans="1:17" s="43" customFormat="1" ht="12.75" customHeight="1" x14ac:dyDescent="0.2">
      <c r="A42" s="63" t="s">
        <v>17</v>
      </c>
      <c r="B42" s="64">
        <v>0.25</v>
      </c>
      <c r="C42" s="65"/>
      <c r="D42" s="65"/>
      <c r="E42" s="65"/>
      <c r="F42" s="65"/>
      <c r="G42" s="66"/>
    </row>
    <row r="43" spans="1:17" s="43" customFormat="1" x14ac:dyDescent="0.2">
      <c r="A43" s="52" t="s">
        <v>18</v>
      </c>
      <c r="B43" s="56"/>
      <c r="C43" s="56"/>
      <c r="D43" s="87">
        <v>23357</v>
      </c>
      <c r="E43" s="60" t="s">
        <v>19</v>
      </c>
      <c r="F43" s="111">
        <f>D43/43560</f>
        <v>0.53600000000000003</v>
      </c>
      <c r="G43" s="62" t="s">
        <v>14</v>
      </c>
    </row>
    <row r="44" spans="1:17" s="43" customFormat="1" x14ac:dyDescent="0.2">
      <c r="A44" s="63" t="s">
        <v>20</v>
      </c>
      <c r="B44" s="124">
        <v>0.2</v>
      </c>
      <c r="C44" s="65"/>
      <c r="D44" s="65"/>
      <c r="E44" s="65"/>
      <c r="F44" s="65"/>
      <c r="G44" s="66"/>
      <c r="H44" s="46"/>
      <c r="I44" s="46"/>
      <c r="J44" s="46"/>
    </row>
    <row r="45" spans="1:17" s="43" customFormat="1" x14ac:dyDescent="0.2">
      <c r="A45" s="52" t="s">
        <v>21</v>
      </c>
      <c r="B45" s="56"/>
      <c r="C45" s="56"/>
      <c r="D45" s="67">
        <f>D39+D41+D43</f>
        <v>82490</v>
      </c>
      <c r="E45" s="60" t="s">
        <v>13</v>
      </c>
      <c r="F45" s="111">
        <f>ROUND(F39+F41+F43,3)</f>
        <v>1.8939999999999999</v>
      </c>
      <c r="G45" s="62" t="s">
        <v>14</v>
      </c>
      <c r="H45" s="56"/>
      <c r="I45" s="46"/>
      <c r="J45" s="46"/>
    </row>
    <row r="46" spans="1:17" s="43" customFormat="1" x14ac:dyDescent="0.2">
      <c r="A46" s="63" t="s">
        <v>22</v>
      </c>
      <c r="B46" s="68">
        <f>(D39/D45*B40)+(D41/D45*B42)+(D43/D45*B44)</f>
        <v>0.74</v>
      </c>
      <c r="C46" s="69"/>
      <c r="D46" s="65"/>
      <c r="E46" s="70"/>
      <c r="F46" s="65"/>
      <c r="G46" s="66"/>
      <c r="H46" s="88"/>
      <c r="I46" s="89"/>
      <c r="J46" s="89"/>
      <c r="K46" s="46"/>
      <c r="L46" s="46"/>
      <c r="M46" s="46"/>
      <c r="N46" s="46"/>
      <c r="O46" s="46"/>
      <c r="P46" s="46"/>
      <c r="Q46" s="46"/>
    </row>
    <row r="47" spans="1:17" s="43" customFormat="1" x14ac:dyDescent="0.2">
      <c r="A47" s="71"/>
      <c r="B47" s="72"/>
      <c r="C47" s="56"/>
      <c r="D47" s="56"/>
      <c r="E47" s="56"/>
      <c r="F47" s="56"/>
      <c r="G47" s="57"/>
      <c r="H47" s="56"/>
      <c r="I47" s="89"/>
      <c r="J47" s="89"/>
      <c r="K47" s="46"/>
      <c r="L47" s="46"/>
      <c r="M47" s="46"/>
      <c r="N47" s="46"/>
      <c r="O47" s="46"/>
      <c r="P47" s="46"/>
      <c r="Q47" s="46"/>
    </row>
    <row r="48" spans="1:17" s="43" customFormat="1" x14ac:dyDescent="0.2">
      <c r="A48" s="52"/>
      <c r="B48" s="60"/>
      <c r="C48" s="72"/>
      <c r="D48" s="60"/>
      <c r="E48" s="72"/>
      <c r="F48" s="60"/>
      <c r="G48" s="62"/>
      <c r="H48" s="72"/>
      <c r="I48" s="89"/>
      <c r="J48" s="89"/>
      <c r="K48" s="46"/>
      <c r="L48" s="46"/>
      <c r="M48" s="46"/>
      <c r="N48" s="46"/>
      <c r="O48" s="46"/>
      <c r="P48" s="46"/>
      <c r="Q48" s="46"/>
    </row>
    <row r="49" spans="1:17" s="43" customFormat="1" x14ac:dyDescent="0.2">
      <c r="A49" s="52" t="s">
        <v>23</v>
      </c>
      <c r="B49" s="72"/>
      <c r="C49" s="72"/>
      <c r="D49" s="72"/>
      <c r="E49" s="72"/>
      <c r="F49" s="72"/>
      <c r="G49" s="62"/>
      <c r="H49" s="56"/>
      <c r="I49" s="89"/>
      <c r="J49" s="89"/>
      <c r="K49" s="46"/>
      <c r="L49" s="46"/>
      <c r="M49" s="46"/>
      <c r="N49" s="46"/>
      <c r="O49" s="46"/>
      <c r="P49" s="46"/>
      <c r="Q49" s="46"/>
    </row>
    <row r="50" spans="1:17" s="43" customFormat="1" x14ac:dyDescent="0.2">
      <c r="A50" s="52" t="s">
        <v>24</v>
      </c>
      <c r="B50" s="60" t="s">
        <v>25</v>
      </c>
      <c r="C50" s="73">
        <v>215</v>
      </c>
      <c r="D50" s="72" t="s">
        <v>26</v>
      </c>
      <c r="E50" s="56"/>
      <c r="F50" s="72" t="s">
        <v>27</v>
      </c>
      <c r="G50" s="74">
        <v>1.1000000000000001</v>
      </c>
      <c r="H50" s="56"/>
      <c r="I50" s="89"/>
      <c r="J50" s="89"/>
      <c r="K50" s="46"/>
      <c r="L50" s="46"/>
      <c r="M50" s="46"/>
      <c r="N50" s="46"/>
      <c r="O50" s="46"/>
      <c r="P50" s="46"/>
      <c r="Q50" s="46"/>
    </row>
    <row r="51" spans="1:17" s="43" customFormat="1" x14ac:dyDescent="0.2">
      <c r="A51" s="75"/>
      <c r="B51" s="60" t="s">
        <v>22</v>
      </c>
      <c r="C51" s="76">
        <f>B46</f>
        <v>0.74</v>
      </c>
      <c r="D51" s="72" t="s">
        <v>28</v>
      </c>
      <c r="E51" s="56"/>
      <c r="F51" s="56"/>
      <c r="G51" s="57"/>
      <c r="H51" s="56"/>
      <c r="I51" s="89"/>
      <c r="J51" s="89"/>
      <c r="K51" s="46"/>
      <c r="L51" s="46"/>
      <c r="M51" s="46"/>
      <c r="N51" s="46"/>
      <c r="O51" s="46"/>
      <c r="P51" s="46"/>
      <c r="Q51" s="46"/>
    </row>
    <row r="52" spans="1:17" s="43" customFormat="1" ht="13.35" customHeight="1" x14ac:dyDescent="0.2">
      <c r="A52" s="75"/>
      <c r="B52" s="60" t="s">
        <v>29</v>
      </c>
      <c r="C52" s="77">
        <f>G50/C50*100</f>
        <v>0.51160000000000005</v>
      </c>
      <c r="D52" s="72" t="s">
        <v>30</v>
      </c>
      <c r="E52" s="56"/>
      <c r="F52" s="56"/>
      <c r="G52" s="57"/>
      <c r="H52" s="56"/>
      <c r="I52" s="89"/>
      <c r="J52" s="89"/>
      <c r="K52" s="46"/>
      <c r="L52" s="46"/>
      <c r="M52" s="46"/>
      <c r="N52" s="46"/>
      <c r="O52" s="46"/>
      <c r="P52" s="46"/>
      <c r="Q52" s="46"/>
    </row>
    <row r="53" spans="1:17" s="43" customFormat="1" ht="12.75" customHeight="1" x14ac:dyDescent="0.2">
      <c r="A53" s="52" t="s">
        <v>31</v>
      </c>
      <c r="B53" s="60" t="s">
        <v>32</v>
      </c>
      <c r="C53" s="76">
        <f>(C50^0.8*(1000/B46-9)^0.7)/1140*(C52^0.5)</f>
        <v>7.13</v>
      </c>
      <c r="D53" s="72" t="s">
        <v>33</v>
      </c>
      <c r="E53" s="78"/>
      <c r="F53" s="72"/>
      <c r="G53" s="57"/>
      <c r="H53" s="56"/>
      <c r="I53" s="89"/>
      <c r="J53" s="89"/>
      <c r="K53" s="46"/>
      <c r="L53" s="46"/>
      <c r="M53" s="46"/>
      <c r="N53" s="46"/>
      <c r="O53" s="46"/>
      <c r="P53" s="46"/>
      <c r="Q53" s="46"/>
    </row>
    <row r="54" spans="1:17" s="43" customFormat="1" ht="25.35" customHeight="1" x14ac:dyDescent="0.2">
      <c r="A54" s="79" t="s">
        <v>141</v>
      </c>
      <c r="B54" s="132" t="s">
        <v>34</v>
      </c>
      <c r="C54" s="134">
        <v>7.54</v>
      </c>
      <c r="D54" s="72" t="s">
        <v>35</v>
      </c>
      <c r="E54" s="56"/>
      <c r="F54" s="56"/>
      <c r="G54" s="57"/>
      <c r="H54" s="56"/>
      <c r="I54" s="89"/>
      <c r="J54" s="89"/>
      <c r="K54" s="46"/>
      <c r="L54" s="46"/>
      <c r="M54" s="46"/>
      <c r="N54" s="46"/>
      <c r="O54" s="46"/>
      <c r="P54" s="46"/>
      <c r="Q54" s="46"/>
    </row>
    <row r="55" spans="1:17" s="43" customFormat="1" ht="13.35" customHeight="1" x14ac:dyDescent="0.2">
      <c r="A55" s="75"/>
      <c r="B55" s="56"/>
      <c r="C55" s="56"/>
      <c r="D55" s="56"/>
      <c r="E55" s="56"/>
      <c r="F55" s="56"/>
      <c r="G55" s="57"/>
      <c r="H55" s="56"/>
      <c r="I55" s="89"/>
      <c r="J55" s="89"/>
      <c r="K55" s="46"/>
      <c r="L55" s="46"/>
      <c r="M55" s="46"/>
      <c r="N55" s="46"/>
      <c r="O55" s="46"/>
      <c r="P55" s="46"/>
      <c r="Q55" s="46"/>
    </row>
    <row r="56" spans="1:17" s="43" customFormat="1" ht="13.35" customHeight="1" x14ac:dyDescent="0.25">
      <c r="A56" s="81" t="s">
        <v>145</v>
      </c>
      <c r="B56" s="133">
        <f>F45*B46*C54</f>
        <v>10.57</v>
      </c>
      <c r="C56" s="83" t="s">
        <v>36</v>
      </c>
      <c r="D56" s="84" t="s">
        <v>37</v>
      </c>
      <c r="E56" s="90"/>
      <c r="F56" s="91"/>
      <c r="G56" s="92"/>
      <c r="H56" s="56"/>
      <c r="I56" s="89"/>
      <c r="J56" s="89"/>
      <c r="K56" s="46"/>
      <c r="L56" s="46"/>
      <c r="M56" s="46"/>
      <c r="N56" s="46"/>
      <c r="O56" s="46"/>
      <c r="P56" s="46"/>
      <c r="Q56" s="46"/>
    </row>
    <row r="57" spans="1:17" s="43" customFormat="1" x14ac:dyDescent="0.2">
      <c r="A57" s="148" t="s">
        <v>39</v>
      </c>
      <c r="B57" s="148"/>
      <c r="C57" s="148"/>
      <c r="D57" s="148"/>
      <c r="E57" s="148"/>
      <c r="F57" s="148"/>
      <c r="G57" s="148"/>
      <c r="I57" s="46"/>
      <c r="J57" s="46"/>
      <c r="K57" s="46"/>
      <c r="L57" s="46"/>
      <c r="M57" s="46"/>
      <c r="N57" s="46"/>
      <c r="O57" s="46"/>
      <c r="P57" s="46"/>
      <c r="Q57" s="46"/>
    </row>
    <row r="58" spans="1:17" s="43" customFormat="1" ht="14.25" x14ac:dyDescent="0.25">
      <c r="A58" s="93" t="s">
        <v>125</v>
      </c>
      <c r="B58" s="56"/>
      <c r="C58" s="94">
        <f>(B56-B35)</f>
        <v>6.48</v>
      </c>
      <c r="D58" s="72" t="s">
        <v>40</v>
      </c>
      <c r="F58" s="56"/>
      <c r="G58" s="57"/>
    </row>
    <row r="59" spans="1:17" s="43" customFormat="1" x14ac:dyDescent="0.2">
      <c r="A59" s="119" t="s">
        <v>123</v>
      </c>
      <c r="B59" s="56"/>
      <c r="C59" s="95">
        <f>C58*60*60</f>
        <v>23328</v>
      </c>
      <c r="D59" s="72" t="s">
        <v>41</v>
      </c>
      <c r="F59" s="56"/>
      <c r="G59" s="57"/>
    </row>
    <row r="60" spans="1:17" s="43" customFormat="1" x14ac:dyDescent="0.2">
      <c r="A60" s="120"/>
      <c r="B60" s="153" t="s">
        <v>124</v>
      </c>
      <c r="C60" s="154"/>
      <c r="D60" s="121" t="s">
        <v>42</v>
      </c>
      <c r="E60" s="122">
        <v>224</v>
      </c>
      <c r="F60" s="121" t="s">
        <v>43</v>
      </c>
      <c r="G60" s="123"/>
    </row>
    <row r="61" spans="1:17" s="43" customFormat="1" x14ac:dyDescent="0.2">
      <c r="A61" s="96"/>
      <c r="B61" s="56"/>
      <c r="C61" s="56"/>
      <c r="D61" s="72" t="s">
        <v>44</v>
      </c>
      <c r="E61" s="59">
        <v>215</v>
      </c>
      <c r="F61" s="72" t="s">
        <v>43</v>
      </c>
      <c r="G61" s="57"/>
    </row>
    <row r="62" spans="1:17" s="43" customFormat="1" x14ac:dyDescent="0.2">
      <c r="A62" s="97"/>
      <c r="B62" s="98"/>
      <c r="C62" s="98"/>
      <c r="D62" s="99" t="s">
        <v>45</v>
      </c>
      <c r="E62" s="100">
        <f>C59/E60/E61</f>
        <v>0.48</v>
      </c>
      <c r="F62" s="101" t="s">
        <v>43</v>
      </c>
      <c r="G62" s="102"/>
    </row>
    <row r="63" spans="1:17" s="43" customFormat="1" x14ac:dyDescent="0.2">
      <c r="A63" s="150" t="s">
        <v>46</v>
      </c>
      <c r="B63" s="150"/>
      <c r="C63" s="150"/>
      <c r="D63" s="150"/>
      <c r="E63" s="150"/>
      <c r="F63" s="150"/>
      <c r="G63" s="150"/>
    </row>
    <row r="64" spans="1:17" s="43" customFormat="1" x14ac:dyDescent="0.2">
      <c r="A64" s="144" t="s">
        <v>131</v>
      </c>
      <c r="B64" s="144"/>
      <c r="C64" s="144"/>
      <c r="D64" s="144"/>
      <c r="E64" s="144"/>
      <c r="F64" s="144"/>
      <c r="G64" s="144"/>
    </row>
    <row r="65" spans="1:7" s="43" customFormat="1" x14ac:dyDescent="0.2">
      <c r="A65" s="157"/>
      <c r="B65" s="157"/>
      <c r="C65" s="157"/>
      <c r="D65" s="157"/>
      <c r="E65" s="157"/>
      <c r="F65" s="157"/>
      <c r="G65" s="157"/>
    </row>
    <row r="66" spans="1:7" s="43" customFormat="1" ht="40.35" customHeight="1" x14ac:dyDescent="0.2">
      <c r="A66" s="158" t="s">
        <v>121</v>
      </c>
      <c r="B66" s="158"/>
      <c r="C66" s="158"/>
      <c r="D66" s="158"/>
      <c r="E66" s="158"/>
      <c r="F66" s="158"/>
      <c r="G66" s="158"/>
    </row>
    <row r="67" spans="1:7" s="43" customFormat="1" ht="13.35" customHeight="1" x14ac:dyDescent="0.2">
      <c r="A67" s="52" t="s">
        <v>119</v>
      </c>
      <c r="B67" s="142" t="s">
        <v>47</v>
      </c>
      <c r="C67" s="142"/>
      <c r="D67" s="142"/>
      <c r="E67" s="142"/>
      <c r="F67" s="142"/>
      <c r="G67" s="142"/>
    </row>
    <row r="68" spans="1:7" s="43" customFormat="1" x14ac:dyDescent="0.2">
      <c r="A68" s="54" t="s">
        <v>120</v>
      </c>
      <c r="B68" s="103" t="s">
        <v>48</v>
      </c>
      <c r="C68" s="103"/>
      <c r="D68" s="103"/>
      <c r="E68" s="104"/>
      <c r="F68" s="104"/>
      <c r="G68" s="105"/>
    </row>
    <row r="69" spans="1:7" s="43" customFormat="1" ht="13.35" customHeight="1" x14ac:dyDescent="0.2">
      <c r="A69" s="54" t="s">
        <v>117</v>
      </c>
      <c r="B69" s="145" t="s">
        <v>49</v>
      </c>
      <c r="C69" s="145"/>
      <c r="D69" s="145"/>
      <c r="E69" s="145"/>
      <c r="F69" s="145"/>
      <c r="G69" s="145"/>
    </row>
    <row r="70" spans="1:7" s="43" customFormat="1" x14ac:dyDescent="0.2">
      <c r="A70" s="106" t="s">
        <v>50</v>
      </c>
      <c r="B70" s="104" t="s">
        <v>51</v>
      </c>
      <c r="C70" s="104"/>
      <c r="D70" s="104"/>
      <c r="E70" s="104"/>
      <c r="F70" s="104"/>
      <c r="G70" s="105"/>
    </row>
    <row r="71" spans="1:7" s="43" customFormat="1" ht="13.5" customHeight="1" x14ac:dyDescent="0.2">
      <c r="A71" s="107" t="s">
        <v>52</v>
      </c>
      <c r="B71" s="108" t="s">
        <v>53</v>
      </c>
      <c r="C71" s="108"/>
      <c r="D71" s="108"/>
      <c r="E71" s="108"/>
      <c r="F71" s="108"/>
      <c r="G71" s="109"/>
    </row>
    <row r="72" spans="1:7" s="43" customFormat="1" x14ac:dyDescent="0.2">
      <c r="A72" s="159" t="s">
        <v>54</v>
      </c>
      <c r="B72" s="159"/>
      <c r="C72" s="159"/>
      <c r="D72" s="159"/>
      <c r="E72" s="159"/>
      <c r="F72" s="159"/>
      <c r="G72" s="159"/>
    </row>
    <row r="73" spans="1:7" s="43" customFormat="1" x14ac:dyDescent="0.2">
      <c r="A73" s="71" t="s">
        <v>122</v>
      </c>
      <c r="B73" s="61">
        <f>B35</f>
        <v>4.09</v>
      </c>
      <c r="C73" s="72" t="s">
        <v>36</v>
      </c>
      <c r="D73" s="60" t="s">
        <v>55</v>
      </c>
      <c r="E73" s="129">
        <v>0.42</v>
      </c>
      <c r="F73" s="72" t="s">
        <v>56</v>
      </c>
      <c r="G73" s="57"/>
    </row>
    <row r="74" spans="1:7" s="43" customFormat="1" x14ac:dyDescent="0.2">
      <c r="A74" s="71" t="s">
        <v>22</v>
      </c>
      <c r="B74" s="110">
        <v>0.62</v>
      </c>
      <c r="C74" s="72" t="s">
        <v>57</v>
      </c>
      <c r="D74" s="60" t="s">
        <v>58</v>
      </c>
      <c r="E74" s="111">
        <f>B73/(B74*(2*B75*E73)^0.5)</f>
        <v>1.2689999999999999</v>
      </c>
      <c r="F74" s="72" t="s">
        <v>59</v>
      </c>
      <c r="G74" s="57"/>
    </row>
    <row r="75" spans="1:7" s="43" customFormat="1" x14ac:dyDescent="0.2">
      <c r="A75" s="71" t="s">
        <v>60</v>
      </c>
      <c r="B75" s="110">
        <v>32.159999999999997</v>
      </c>
      <c r="C75" s="72" t="s">
        <v>61</v>
      </c>
      <c r="D75" s="46"/>
      <c r="E75" s="46"/>
      <c r="F75" s="56"/>
      <c r="G75" s="57"/>
    </row>
    <row r="76" spans="1:7" s="43" customFormat="1" x14ac:dyDescent="0.2">
      <c r="A76" s="75"/>
      <c r="B76" s="56"/>
      <c r="C76" s="56"/>
      <c r="D76" s="56"/>
      <c r="E76" s="56"/>
      <c r="F76" s="56"/>
      <c r="G76" s="57"/>
    </row>
    <row r="77" spans="1:7" s="43" customFormat="1" x14ac:dyDescent="0.2">
      <c r="A77" s="112" t="s">
        <v>62</v>
      </c>
      <c r="B77" s="113"/>
      <c r="C77" s="113"/>
      <c r="D77" s="130">
        <f>((E74/PI())^0.5)*2*12</f>
        <v>15.25</v>
      </c>
      <c r="E77" s="114" t="s">
        <v>63</v>
      </c>
      <c r="F77" s="113"/>
      <c r="G77" s="115"/>
    </row>
    <row r="78" spans="1:7" s="43" customFormat="1" x14ac:dyDescent="0.2">
      <c r="A78" s="116" t="s">
        <v>64</v>
      </c>
      <c r="B78" s="50"/>
      <c r="C78" s="50"/>
      <c r="D78" s="50"/>
      <c r="E78" s="50"/>
      <c r="F78" s="50"/>
      <c r="G78" s="51"/>
    </row>
    <row r="79" spans="1:7" s="43" customFormat="1" ht="13.35" customHeight="1" x14ac:dyDescent="0.2">
      <c r="A79" s="155" t="s">
        <v>109</v>
      </c>
      <c r="B79" s="155"/>
      <c r="C79" s="155"/>
      <c r="D79" s="155"/>
      <c r="E79" s="155"/>
      <c r="F79" s="155"/>
      <c r="G79" s="155"/>
    </row>
    <row r="80" spans="1:7" s="43" customFormat="1" ht="13.35" customHeight="1" x14ac:dyDescent="0.2">
      <c r="A80" s="155" t="s">
        <v>110</v>
      </c>
      <c r="B80" s="155"/>
      <c r="C80" s="155"/>
      <c r="D80" s="155"/>
      <c r="E80" s="155"/>
      <c r="F80" s="155"/>
      <c r="G80" s="155"/>
    </row>
    <row r="81" spans="1:7" s="43" customFormat="1" x14ac:dyDescent="0.2">
      <c r="A81" s="117" t="s">
        <v>111</v>
      </c>
      <c r="B81" s="46"/>
      <c r="C81" s="46"/>
      <c r="D81" s="46"/>
      <c r="E81" s="46"/>
      <c r="F81" s="46"/>
      <c r="G81" s="118"/>
    </row>
    <row r="82" spans="1:7" s="43" customFormat="1" ht="13.35" customHeight="1" x14ac:dyDescent="0.2">
      <c r="A82" s="155" t="s">
        <v>112</v>
      </c>
      <c r="B82" s="155"/>
      <c r="C82" s="155"/>
      <c r="D82" s="155"/>
      <c r="E82" s="155"/>
      <c r="F82" s="155"/>
      <c r="G82" s="155"/>
    </row>
    <row r="83" spans="1:7" s="43" customFormat="1" ht="13.35" customHeight="1" x14ac:dyDescent="0.2">
      <c r="A83" s="156" t="s">
        <v>113</v>
      </c>
      <c r="B83" s="156"/>
      <c r="C83" s="156"/>
      <c r="D83" s="156"/>
      <c r="E83" s="156"/>
      <c r="F83" s="156"/>
      <c r="G83" s="156"/>
    </row>
  </sheetData>
  <mergeCells count="29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D35:E35"/>
    <mergeCell ref="B60:C60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firstPageNumber="0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3"/>
  <sheetViews>
    <sheetView workbookViewId="0">
      <selection activeCell="C54" sqref="C54"/>
    </sheetView>
  </sheetViews>
  <sheetFormatPr defaultRowHeight="12.75" x14ac:dyDescent="0.2"/>
  <cols>
    <col min="1" max="1" width="17.140625" customWidth="1"/>
    <col min="2" max="2" width="14.42578125" customWidth="1"/>
    <col min="3" max="3" width="11.710937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s="43" customFormat="1" ht="19.5" thickTop="1" x14ac:dyDescent="0.3">
      <c r="A1" s="44" t="s">
        <v>0</v>
      </c>
      <c r="B1" s="139" t="s">
        <v>133</v>
      </c>
      <c r="C1" s="139"/>
      <c r="D1" s="139"/>
      <c r="E1" s="139"/>
      <c r="F1" s="139"/>
      <c r="G1" s="139"/>
      <c r="H1" s="45"/>
      <c r="I1" s="46"/>
      <c r="J1" s="47"/>
      <c r="K1" s="46"/>
      <c r="L1" s="46"/>
      <c r="M1" s="46"/>
      <c r="N1" s="46"/>
      <c r="O1" s="46"/>
      <c r="P1" s="46"/>
      <c r="Q1" s="46"/>
    </row>
    <row r="2" spans="1:17" s="43" customFormat="1" ht="13.5" thickBot="1" x14ac:dyDescent="0.25">
      <c r="A2" s="140" t="s">
        <v>1</v>
      </c>
      <c r="B2" s="140"/>
      <c r="C2" s="140"/>
      <c r="D2" s="140"/>
      <c r="E2" s="140"/>
      <c r="F2" s="140"/>
      <c r="G2" s="140"/>
    </row>
    <row r="3" spans="1:17" s="43" customFormat="1" ht="13.5" thickTop="1" x14ac:dyDescent="0.2">
      <c r="A3" s="48" t="s">
        <v>2</v>
      </c>
      <c r="B3" s="49"/>
      <c r="C3" s="49"/>
      <c r="D3" s="49"/>
      <c r="E3" s="50"/>
      <c r="F3" s="50"/>
      <c r="G3" s="51"/>
    </row>
    <row r="4" spans="1:17" s="43" customFormat="1" ht="20.25" customHeight="1" x14ac:dyDescent="0.2">
      <c r="A4" s="141" t="s">
        <v>3</v>
      </c>
      <c r="B4" s="141"/>
      <c r="C4" s="141"/>
      <c r="D4" s="141"/>
      <c r="E4" s="141"/>
      <c r="F4" s="141"/>
      <c r="G4" s="141"/>
    </row>
    <row r="5" spans="1:17" s="43" customFormat="1" ht="12.75" customHeight="1" x14ac:dyDescent="0.2">
      <c r="A5" s="52" t="s">
        <v>115</v>
      </c>
      <c r="B5" s="142" t="s">
        <v>4</v>
      </c>
      <c r="C5" s="142"/>
      <c r="D5" s="142"/>
      <c r="E5" s="142"/>
      <c r="F5" s="142"/>
      <c r="G5" s="142"/>
    </row>
    <row r="6" spans="1:17" s="43" customFormat="1" x14ac:dyDescent="0.2">
      <c r="A6" s="53"/>
      <c r="B6" s="142"/>
      <c r="C6" s="142"/>
      <c r="D6" s="142"/>
      <c r="E6" s="142"/>
      <c r="F6" s="142"/>
      <c r="G6" s="142"/>
    </row>
    <row r="7" spans="1:17" s="43" customFormat="1" x14ac:dyDescent="0.2">
      <c r="A7" s="54" t="s">
        <v>116</v>
      </c>
      <c r="B7" s="143" t="s">
        <v>5</v>
      </c>
      <c r="C7" s="143"/>
      <c r="D7" s="143"/>
      <c r="E7" s="143"/>
      <c r="F7" s="143"/>
      <c r="G7" s="143"/>
    </row>
    <row r="8" spans="1:17" s="43" customFormat="1" x14ac:dyDescent="0.2">
      <c r="A8" s="54" t="s">
        <v>117</v>
      </c>
      <c r="B8" s="138" t="s">
        <v>6</v>
      </c>
      <c r="C8" s="138"/>
      <c r="D8" s="138"/>
      <c r="E8" s="138"/>
      <c r="F8" s="138"/>
      <c r="G8" s="138"/>
    </row>
    <row r="9" spans="1:17" s="43" customFormat="1" ht="12.75" customHeight="1" x14ac:dyDescent="0.2">
      <c r="A9" s="54" t="s">
        <v>118</v>
      </c>
      <c r="B9" s="145" t="s">
        <v>7</v>
      </c>
      <c r="C9" s="145"/>
      <c r="D9" s="145"/>
      <c r="E9" s="145"/>
      <c r="F9" s="145"/>
      <c r="G9" s="145"/>
      <c r="I9" s="43" t="s">
        <v>37</v>
      </c>
    </row>
    <row r="10" spans="1:17" s="43" customFormat="1" ht="44.85" customHeight="1" x14ac:dyDescent="0.2">
      <c r="A10" s="146" t="s">
        <v>114</v>
      </c>
      <c r="B10" s="146"/>
      <c r="C10" s="146"/>
      <c r="D10" s="146"/>
      <c r="E10" s="146"/>
      <c r="F10" s="146"/>
      <c r="G10" s="146"/>
    </row>
    <row r="11" spans="1:17" s="43" customFormat="1" ht="12.75" customHeight="1" x14ac:dyDescent="0.2">
      <c r="A11" s="52" t="s">
        <v>127</v>
      </c>
      <c r="B11" s="142" t="s">
        <v>8</v>
      </c>
      <c r="C11" s="142"/>
      <c r="D11" s="142"/>
      <c r="E11" s="142"/>
      <c r="F11" s="142"/>
      <c r="G11" s="142"/>
    </row>
    <row r="12" spans="1:17" s="43" customFormat="1" ht="12.75" customHeight="1" x14ac:dyDescent="0.2">
      <c r="A12" s="53"/>
      <c r="B12" s="142"/>
      <c r="C12" s="142"/>
      <c r="D12" s="142"/>
      <c r="E12" s="142"/>
      <c r="F12" s="142"/>
      <c r="G12" s="142"/>
    </row>
    <row r="13" spans="1:17" s="43" customFormat="1" ht="12.75" customHeight="1" x14ac:dyDescent="0.2">
      <c r="A13" s="54" t="s">
        <v>117</v>
      </c>
      <c r="B13" s="138" t="s">
        <v>9</v>
      </c>
      <c r="C13" s="138"/>
      <c r="D13" s="138"/>
      <c r="E13" s="138"/>
      <c r="F13" s="138"/>
      <c r="G13" s="138"/>
    </row>
    <row r="14" spans="1:17" s="43" customFormat="1" ht="12.75" customHeight="1" thickBot="1" x14ac:dyDescent="0.25">
      <c r="A14" s="54" t="s">
        <v>128</v>
      </c>
      <c r="B14" s="147" t="s">
        <v>10</v>
      </c>
      <c r="C14" s="147"/>
      <c r="D14" s="147"/>
      <c r="E14" s="147"/>
      <c r="F14" s="147"/>
      <c r="G14" s="147"/>
    </row>
    <row r="15" spans="1:17" s="43" customFormat="1" x14ac:dyDescent="0.2">
      <c r="A15" s="148" t="s">
        <v>11</v>
      </c>
      <c r="B15" s="148"/>
      <c r="C15" s="148"/>
      <c r="D15" s="148"/>
      <c r="E15" s="148"/>
      <c r="F15" s="148"/>
      <c r="G15" s="148"/>
    </row>
    <row r="16" spans="1:17" s="43" customFormat="1" ht="13.5" thickBot="1" x14ac:dyDescent="0.25">
      <c r="A16" s="160" t="s">
        <v>132</v>
      </c>
      <c r="B16" s="160"/>
      <c r="C16" s="160"/>
      <c r="D16" s="160"/>
      <c r="E16" s="160"/>
      <c r="F16" s="160"/>
      <c r="G16" s="160"/>
    </row>
    <row r="17" spans="1:7" s="43" customFormat="1" ht="15" thickTop="1" x14ac:dyDescent="0.25">
      <c r="A17" s="55" t="s">
        <v>105</v>
      </c>
      <c r="B17" s="56"/>
      <c r="C17" s="56"/>
      <c r="D17" s="56"/>
      <c r="E17" s="56"/>
      <c r="F17" s="56"/>
      <c r="G17" s="57"/>
    </row>
    <row r="18" spans="1:7" s="43" customFormat="1" x14ac:dyDescent="0.2">
      <c r="A18" s="52" t="s">
        <v>12</v>
      </c>
      <c r="B18" s="56"/>
      <c r="C18" s="58"/>
      <c r="D18" s="59">
        <v>10066</v>
      </c>
      <c r="E18" s="60" t="s">
        <v>13</v>
      </c>
      <c r="F18" s="61">
        <f>D18/43560</f>
        <v>0.23100000000000001</v>
      </c>
      <c r="G18" s="62" t="s">
        <v>14</v>
      </c>
    </row>
    <row r="19" spans="1:7" s="43" customFormat="1" x14ac:dyDescent="0.2">
      <c r="A19" s="63" t="s">
        <v>15</v>
      </c>
      <c r="B19" s="64">
        <v>0.95</v>
      </c>
      <c r="C19" s="65"/>
      <c r="D19" s="65"/>
      <c r="E19" s="65"/>
      <c r="F19" s="65"/>
      <c r="G19" s="66"/>
    </row>
    <row r="20" spans="1:7" s="43" customFormat="1" x14ac:dyDescent="0.2">
      <c r="A20" s="52" t="s">
        <v>16</v>
      </c>
      <c r="B20" s="56"/>
      <c r="C20" s="56"/>
      <c r="D20" s="59">
        <v>1825</v>
      </c>
      <c r="E20" s="60" t="s">
        <v>13</v>
      </c>
      <c r="F20" s="61">
        <f>D20/43560</f>
        <v>4.2000000000000003E-2</v>
      </c>
      <c r="G20" s="62" t="s">
        <v>14</v>
      </c>
    </row>
    <row r="21" spans="1:7" s="43" customFormat="1" x14ac:dyDescent="0.2">
      <c r="A21" s="63" t="s">
        <v>17</v>
      </c>
      <c r="B21" s="64">
        <v>0.25</v>
      </c>
      <c r="C21" s="65"/>
      <c r="D21" s="65"/>
      <c r="E21" s="65"/>
      <c r="F21" s="65"/>
      <c r="G21" s="66"/>
    </row>
    <row r="22" spans="1:7" s="43" customFormat="1" x14ac:dyDescent="0.2">
      <c r="A22" s="52" t="s">
        <v>18</v>
      </c>
      <c r="B22" s="56"/>
      <c r="C22" s="56"/>
      <c r="D22" s="59">
        <v>41943</v>
      </c>
      <c r="E22" s="60" t="s">
        <v>19</v>
      </c>
      <c r="F22" s="61">
        <f>D22/43560</f>
        <v>0.96299999999999997</v>
      </c>
      <c r="G22" s="62" t="s">
        <v>14</v>
      </c>
    </row>
    <row r="23" spans="1:7" s="43" customFormat="1" x14ac:dyDescent="0.2">
      <c r="A23" s="63" t="s">
        <v>20</v>
      </c>
      <c r="B23" s="124">
        <v>0.2</v>
      </c>
      <c r="C23" s="65"/>
      <c r="D23" s="65"/>
      <c r="E23" s="65"/>
      <c r="F23" s="65"/>
      <c r="G23" s="66"/>
    </row>
    <row r="24" spans="1:7" s="43" customFormat="1" x14ac:dyDescent="0.2">
      <c r="A24" s="52" t="s">
        <v>21</v>
      </c>
      <c r="B24" s="56"/>
      <c r="C24" s="56"/>
      <c r="D24" s="67">
        <f>D18+D20+D22</f>
        <v>53834</v>
      </c>
      <c r="E24" s="60" t="s">
        <v>13</v>
      </c>
      <c r="F24" s="61">
        <f>F18+F20+F22</f>
        <v>1.236</v>
      </c>
      <c r="G24" s="62" t="s">
        <v>14</v>
      </c>
    </row>
    <row r="25" spans="1:7" s="43" customFormat="1" ht="14.25" customHeight="1" x14ac:dyDescent="0.2">
      <c r="A25" s="63" t="s">
        <v>22</v>
      </c>
      <c r="B25" s="68">
        <f>(D18/D24*B19)+(D20/D24*B21)+(D22/D24*B23)</f>
        <v>0.34</v>
      </c>
      <c r="C25" s="69"/>
      <c r="D25" s="65"/>
      <c r="E25" s="70"/>
      <c r="F25" s="65"/>
      <c r="G25" s="66"/>
    </row>
    <row r="26" spans="1:7" s="43" customFormat="1" x14ac:dyDescent="0.2">
      <c r="A26" s="71"/>
      <c r="B26" s="72"/>
      <c r="C26" s="56"/>
      <c r="D26" s="56"/>
      <c r="E26" s="56"/>
      <c r="F26" s="56"/>
      <c r="G26" s="57"/>
    </row>
    <row r="27" spans="1:7" s="43" customFormat="1" x14ac:dyDescent="0.2">
      <c r="A27" s="52"/>
      <c r="B27" s="60"/>
      <c r="C27" s="72"/>
      <c r="D27" s="60"/>
      <c r="E27" s="72"/>
      <c r="F27" s="60"/>
      <c r="G27" s="62"/>
    </row>
    <row r="28" spans="1:7" s="43" customFormat="1" x14ac:dyDescent="0.2">
      <c r="A28" s="52" t="s">
        <v>23</v>
      </c>
      <c r="B28" s="72"/>
      <c r="C28" s="72"/>
      <c r="D28" s="72"/>
      <c r="E28" s="72"/>
      <c r="F28" s="72"/>
      <c r="G28" s="62"/>
    </row>
    <row r="29" spans="1:7" s="43" customFormat="1" x14ac:dyDescent="0.2">
      <c r="A29" s="52" t="s">
        <v>24</v>
      </c>
      <c r="B29" s="60" t="s">
        <v>25</v>
      </c>
      <c r="C29" s="73">
        <v>316</v>
      </c>
      <c r="D29" s="72" t="s">
        <v>26</v>
      </c>
      <c r="E29" s="56"/>
      <c r="F29" s="72" t="s">
        <v>27</v>
      </c>
      <c r="G29" s="74">
        <v>1.25</v>
      </c>
    </row>
    <row r="30" spans="1:7" s="43" customFormat="1" x14ac:dyDescent="0.2">
      <c r="A30" s="75"/>
      <c r="B30" s="60" t="s">
        <v>22</v>
      </c>
      <c r="C30" s="76">
        <f>B25</f>
        <v>0.34</v>
      </c>
      <c r="D30" s="72" t="s">
        <v>28</v>
      </c>
      <c r="E30" s="56"/>
      <c r="F30" s="56"/>
      <c r="G30" s="57"/>
    </row>
    <row r="31" spans="1:7" s="43" customFormat="1" x14ac:dyDescent="0.2">
      <c r="A31" s="75"/>
      <c r="B31" s="60" t="s">
        <v>29</v>
      </c>
      <c r="C31" s="77">
        <f>G29/C29*100</f>
        <v>0.39560000000000001</v>
      </c>
      <c r="D31" s="72" t="s">
        <v>30</v>
      </c>
      <c r="E31" s="56"/>
      <c r="F31" s="56"/>
      <c r="G31" s="57"/>
    </row>
    <row r="32" spans="1:7" s="43" customFormat="1" ht="12.75" customHeight="1" x14ac:dyDescent="0.2">
      <c r="A32" s="52" t="s">
        <v>31</v>
      </c>
      <c r="B32" s="60" t="s">
        <v>32</v>
      </c>
      <c r="C32" s="76">
        <f>(C29^0.8*(1000/B25-9)^0.7)/1140*(C31^0.5)</f>
        <v>14.74</v>
      </c>
      <c r="D32" s="72" t="s">
        <v>33</v>
      </c>
      <c r="E32" s="78"/>
      <c r="F32" s="72"/>
      <c r="G32" s="57"/>
    </row>
    <row r="33" spans="1:17" s="43" customFormat="1" ht="38.25" x14ac:dyDescent="0.2">
      <c r="A33" s="79" t="s">
        <v>141</v>
      </c>
      <c r="B33" s="132" t="s">
        <v>34</v>
      </c>
      <c r="C33" s="80">
        <f>'Intensity calcs'!K41</f>
        <v>8.3000000000000007</v>
      </c>
      <c r="D33" s="72" t="s">
        <v>35</v>
      </c>
      <c r="E33" s="56"/>
      <c r="F33" s="56"/>
      <c r="G33" s="57"/>
    </row>
    <row r="34" spans="1:17" s="43" customFormat="1" ht="13.5" thickBot="1" x14ac:dyDescent="0.25">
      <c r="A34" s="75"/>
      <c r="B34" s="56"/>
      <c r="C34" s="56"/>
      <c r="D34" s="56"/>
      <c r="E34" s="56"/>
      <c r="F34" s="56"/>
      <c r="G34" s="57"/>
    </row>
    <row r="35" spans="1:17" s="43" customFormat="1" ht="15" thickBot="1" x14ac:dyDescent="0.3">
      <c r="A35" s="81" t="s">
        <v>106</v>
      </c>
      <c r="B35" s="82">
        <f>F24*B25*C33</f>
        <v>3.488</v>
      </c>
      <c r="C35" s="83" t="s">
        <v>36</v>
      </c>
      <c r="D35" s="151" t="s">
        <v>126</v>
      </c>
      <c r="E35" s="152"/>
      <c r="F35" s="85">
        <f>B35*0.85</f>
        <v>2.9649999999999999</v>
      </c>
      <c r="G35" s="86" t="s">
        <v>36</v>
      </c>
    </row>
    <row r="36" spans="1:17" s="43" customFormat="1" ht="13.5" thickTop="1" x14ac:dyDescent="0.2">
      <c r="A36" s="148" t="s">
        <v>38</v>
      </c>
      <c r="B36" s="148"/>
      <c r="C36" s="148"/>
      <c r="D36" s="148"/>
      <c r="E36" s="148"/>
      <c r="F36" s="148"/>
      <c r="G36" s="148"/>
    </row>
    <row r="37" spans="1:17" s="43" customFormat="1" ht="13.5" thickBot="1" x14ac:dyDescent="0.25">
      <c r="A37" s="160" t="s">
        <v>132</v>
      </c>
      <c r="B37" s="160"/>
      <c r="C37" s="160"/>
      <c r="D37" s="160"/>
      <c r="E37" s="160"/>
      <c r="F37" s="160"/>
      <c r="G37" s="160"/>
    </row>
    <row r="38" spans="1:17" s="43" customFormat="1" ht="15.6" customHeight="1" thickTop="1" x14ac:dyDescent="0.25">
      <c r="A38" s="55" t="s">
        <v>107</v>
      </c>
      <c r="B38" s="56"/>
      <c r="C38" s="56"/>
      <c r="D38" s="56"/>
      <c r="E38" s="56"/>
      <c r="F38" s="56"/>
      <c r="G38" s="57"/>
    </row>
    <row r="39" spans="1:17" s="43" customFormat="1" ht="13.35" customHeight="1" x14ac:dyDescent="0.2">
      <c r="A39" s="52" t="s">
        <v>12</v>
      </c>
      <c r="B39" s="56"/>
      <c r="C39" s="58"/>
      <c r="D39" s="59">
        <v>59133</v>
      </c>
      <c r="E39" s="60" t="s">
        <v>13</v>
      </c>
      <c r="F39" s="61">
        <f>D39/43560</f>
        <v>1.3580000000000001</v>
      </c>
      <c r="G39" s="62" t="s">
        <v>14</v>
      </c>
    </row>
    <row r="40" spans="1:17" s="43" customFormat="1" ht="12.75" customHeight="1" x14ac:dyDescent="0.2">
      <c r="A40" s="63" t="s">
        <v>15</v>
      </c>
      <c r="B40" s="64">
        <v>0.95</v>
      </c>
      <c r="C40" s="65"/>
      <c r="D40" s="65"/>
      <c r="E40" s="65"/>
      <c r="F40" s="65"/>
      <c r="G40" s="66"/>
    </row>
    <row r="41" spans="1:17" s="43" customFormat="1" ht="12.75" customHeight="1" x14ac:dyDescent="0.2">
      <c r="A41" s="52" t="s">
        <v>16</v>
      </c>
      <c r="B41" s="56"/>
      <c r="C41" s="56"/>
      <c r="D41" s="59">
        <v>0</v>
      </c>
      <c r="E41" s="60" t="s">
        <v>13</v>
      </c>
      <c r="F41" s="61">
        <f>D41/43560</f>
        <v>0</v>
      </c>
      <c r="G41" s="62" t="s">
        <v>14</v>
      </c>
    </row>
    <row r="42" spans="1:17" s="43" customFormat="1" ht="12.75" customHeight="1" x14ac:dyDescent="0.2">
      <c r="A42" s="63" t="s">
        <v>17</v>
      </c>
      <c r="B42" s="64">
        <v>0.25</v>
      </c>
      <c r="C42" s="65"/>
      <c r="D42" s="65"/>
      <c r="E42" s="65"/>
      <c r="F42" s="65"/>
      <c r="G42" s="66"/>
    </row>
    <row r="43" spans="1:17" s="43" customFormat="1" x14ac:dyDescent="0.2">
      <c r="A43" s="52" t="s">
        <v>18</v>
      </c>
      <c r="B43" s="56"/>
      <c r="C43" s="56"/>
      <c r="D43" s="87">
        <v>23357</v>
      </c>
      <c r="E43" s="60" t="s">
        <v>19</v>
      </c>
      <c r="F43" s="61">
        <f>D43/43560</f>
        <v>0.53600000000000003</v>
      </c>
      <c r="G43" s="62" t="s">
        <v>14</v>
      </c>
    </row>
    <row r="44" spans="1:17" s="43" customFormat="1" x14ac:dyDescent="0.2">
      <c r="A44" s="63" t="s">
        <v>20</v>
      </c>
      <c r="B44" s="124">
        <v>0.2</v>
      </c>
      <c r="C44" s="65"/>
      <c r="D44" s="65"/>
      <c r="E44" s="65"/>
      <c r="F44" s="65"/>
      <c r="G44" s="66"/>
      <c r="H44" s="46"/>
      <c r="I44" s="46"/>
      <c r="J44" s="46"/>
    </row>
    <row r="45" spans="1:17" s="43" customFormat="1" x14ac:dyDescent="0.2">
      <c r="A45" s="52" t="s">
        <v>21</v>
      </c>
      <c r="B45" s="56"/>
      <c r="C45" s="56"/>
      <c r="D45" s="67">
        <f>D39+D41+D43</f>
        <v>82490</v>
      </c>
      <c r="E45" s="60" t="s">
        <v>13</v>
      </c>
      <c r="F45" s="61">
        <f>F39+F41+F43</f>
        <v>1.8939999999999999</v>
      </c>
      <c r="G45" s="62" t="s">
        <v>14</v>
      </c>
      <c r="H45" s="56"/>
      <c r="I45" s="46"/>
      <c r="J45" s="46"/>
    </row>
    <row r="46" spans="1:17" s="43" customFormat="1" x14ac:dyDescent="0.2">
      <c r="A46" s="63" t="s">
        <v>22</v>
      </c>
      <c r="B46" s="68">
        <f>(D39/D45*B40)+(D41/D45*B42)+(D43/D45*B44)</f>
        <v>0.74</v>
      </c>
      <c r="C46" s="69"/>
      <c r="D46" s="65"/>
      <c r="E46" s="70"/>
      <c r="F46" s="65"/>
      <c r="G46" s="66"/>
      <c r="H46" s="88"/>
      <c r="I46" s="89"/>
      <c r="J46" s="89"/>
      <c r="K46" s="46"/>
      <c r="L46" s="46"/>
      <c r="M46" s="46"/>
      <c r="N46" s="46"/>
      <c r="O46" s="46"/>
      <c r="P46" s="46"/>
      <c r="Q46" s="46"/>
    </row>
    <row r="47" spans="1:17" s="43" customFormat="1" x14ac:dyDescent="0.2">
      <c r="A47" s="71"/>
      <c r="B47" s="72"/>
      <c r="C47" s="56"/>
      <c r="D47" s="56"/>
      <c r="E47" s="56"/>
      <c r="F47" s="56"/>
      <c r="G47" s="57"/>
      <c r="H47" s="56"/>
      <c r="I47" s="89"/>
      <c r="J47" s="89"/>
      <c r="K47" s="46"/>
      <c r="L47" s="46"/>
      <c r="M47" s="46"/>
      <c r="N47" s="46"/>
      <c r="O47" s="46"/>
      <c r="P47" s="46"/>
      <c r="Q47" s="46"/>
    </row>
    <row r="48" spans="1:17" s="43" customFormat="1" x14ac:dyDescent="0.2">
      <c r="A48" s="52"/>
      <c r="B48" s="60"/>
      <c r="C48" s="72"/>
      <c r="D48" s="60"/>
      <c r="E48" s="72"/>
      <c r="F48" s="60"/>
      <c r="G48" s="62"/>
      <c r="H48" s="72"/>
      <c r="I48" s="89"/>
      <c r="J48" s="89"/>
      <c r="K48" s="46"/>
      <c r="L48" s="46"/>
      <c r="M48" s="46"/>
      <c r="N48" s="46"/>
      <c r="O48" s="46"/>
      <c r="P48" s="46"/>
      <c r="Q48" s="46"/>
    </row>
    <row r="49" spans="1:17" s="43" customFormat="1" x14ac:dyDescent="0.2">
      <c r="A49" s="52" t="s">
        <v>23</v>
      </c>
      <c r="B49" s="72"/>
      <c r="C49" s="72"/>
      <c r="D49" s="72"/>
      <c r="E49" s="72"/>
      <c r="F49" s="72"/>
      <c r="G49" s="62"/>
      <c r="H49" s="56"/>
      <c r="I49" s="89"/>
      <c r="J49" s="89"/>
      <c r="K49" s="46"/>
      <c r="L49" s="46"/>
      <c r="M49" s="46"/>
      <c r="N49" s="46"/>
      <c r="O49" s="46"/>
      <c r="P49" s="46"/>
      <c r="Q49" s="46"/>
    </row>
    <row r="50" spans="1:17" s="43" customFormat="1" x14ac:dyDescent="0.2">
      <c r="A50" s="52" t="s">
        <v>24</v>
      </c>
      <c r="B50" s="60" t="s">
        <v>25</v>
      </c>
      <c r="C50" s="73">
        <v>215</v>
      </c>
      <c r="D50" s="72" t="s">
        <v>26</v>
      </c>
      <c r="E50" s="56"/>
      <c r="F50" s="72" t="s">
        <v>27</v>
      </c>
      <c r="G50" s="74">
        <v>1.1000000000000001</v>
      </c>
      <c r="H50" s="56"/>
      <c r="I50" s="89"/>
      <c r="J50" s="89"/>
      <c r="K50" s="46"/>
      <c r="L50" s="46"/>
      <c r="M50" s="46"/>
      <c r="N50" s="46"/>
      <c r="O50" s="46"/>
      <c r="P50" s="46"/>
      <c r="Q50" s="46"/>
    </row>
    <row r="51" spans="1:17" s="43" customFormat="1" x14ac:dyDescent="0.2">
      <c r="A51" s="75"/>
      <c r="B51" s="60" t="s">
        <v>22</v>
      </c>
      <c r="C51" s="76">
        <f>B46</f>
        <v>0.74</v>
      </c>
      <c r="D51" s="72" t="s">
        <v>28</v>
      </c>
      <c r="E51" s="56"/>
      <c r="F51" s="56"/>
      <c r="G51" s="57"/>
      <c r="H51" s="56"/>
      <c r="I51" s="89"/>
      <c r="J51" s="89"/>
      <c r="K51" s="46"/>
      <c r="L51" s="46"/>
      <c r="M51" s="46"/>
      <c r="N51" s="46"/>
      <c r="O51" s="46"/>
      <c r="P51" s="46"/>
      <c r="Q51" s="46"/>
    </row>
    <row r="52" spans="1:17" s="43" customFormat="1" ht="13.35" customHeight="1" x14ac:dyDescent="0.2">
      <c r="A52" s="75"/>
      <c r="B52" s="60" t="s">
        <v>29</v>
      </c>
      <c r="C52" s="77">
        <f>G50/C50*100</f>
        <v>0.51160000000000005</v>
      </c>
      <c r="D52" s="72" t="s">
        <v>30</v>
      </c>
      <c r="E52" s="56"/>
      <c r="F52" s="56"/>
      <c r="G52" s="57"/>
      <c r="H52" s="56"/>
      <c r="I52" s="89"/>
      <c r="J52" s="89"/>
      <c r="K52" s="46"/>
      <c r="L52" s="46"/>
      <c r="M52" s="46"/>
      <c r="N52" s="46"/>
      <c r="O52" s="46"/>
      <c r="P52" s="46"/>
      <c r="Q52" s="46"/>
    </row>
    <row r="53" spans="1:17" s="43" customFormat="1" ht="12.75" customHeight="1" x14ac:dyDescent="0.2">
      <c r="A53" s="52" t="s">
        <v>31</v>
      </c>
      <c r="B53" s="60" t="s">
        <v>32</v>
      </c>
      <c r="C53" s="76">
        <f>(C50^0.8*(1000/B46-9)^0.7)/1140*(C52^0.5)</f>
        <v>7.13</v>
      </c>
      <c r="D53" s="72" t="s">
        <v>33</v>
      </c>
      <c r="E53" s="78"/>
      <c r="F53" s="72"/>
      <c r="G53" s="57"/>
      <c r="H53" s="56"/>
      <c r="I53" s="89"/>
      <c r="J53" s="89"/>
      <c r="K53" s="46"/>
      <c r="L53" s="46"/>
      <c r="M53" s="46"/>
      <c r="N53" s="46"/>
      <c r="O53" s="46"/>
      <c r="P53" s="46"/>
      <c r="Q53" s="46"/>
    </row>
    <row r="54" spans="1:17" s="43" customFormat="1" ht="25.35" customHeight="1" x14ac:dyDescent="0.2">
      <c r="A54" s="79" t="s">
        <v>141</v>
      </c>
      <c r="B54" s="132" t="s">
        <v>34</v>
      </c>
      <c r="C54" s="80">
        <f>'Intensity calcs'!K48</f>
        <v>10.01</v>
      </c>
      <c r="D54" s="72" t="s">
        <v>35</v>
      </c>
      <c r="E54" s="56"/>
      <c r="F54" s="56"/>
      <c r="G54" s="57"/>
      <c r="H54" s="56"/>
      <c r="I54" s="89"/>
      <c r="J54" s="89"/>
      <c r="K54" s="46"/>
      <c r="L54" s="46"/>
      <c r="M54" s="46"/>
      <c r="N54" s="46"/>
      <c r="O54" s="46"/>
      <c r="P54" s="46"/>
      <c r="Q54" s="46"/>
    </row>
    <row r="55" spans="1:17" s="43" customFormat="1" ht="13.35" customHeight="1" thickBot="1" x14ac:dyDescent="0.25">
      <c r="A55" s="75"/>
      <c r="B55" s="56"/>
      <c r="C55" s="56"/>
      <c r="D55" s="56"/>
      <c r="E55" s="56"/>
      <c r="F55" s="56"/>
      <c r="G55" s="57"/>
      <c r="H55" s="56"/>
      <c r="I55" s="89"/>
      <c r="J55" s="89"/>
      <c r="K55" s="46"/>
      <c r="L55" s="46"/>
      <c r="M55" s="46"/>
      <c r="N55" s="46"/>
      <c r="O55" s="46"/>
      <c r="P55" s="46"/>
      <c r="Q55" s="46"/>
    </row>
    <row r="56" spans="1:17" s="43" customFormat="1" ht="13.35" customHeight="1" thickBot="1" x14ac:dyDescent="0.3">
      <c r="A56" s="81" t="s">
        <v>108</v>
      </c>
      <c r="B56" s="82">
        <f>F45*B46*C54</f>
        <v>14.03</v>
      </c>
      <c r="C56" s="83" t="s">
        <v>36</v>
      </c>
      <c r="D56" s="84" t="s">
        <v>37</v>
      </c>
      <c r="E56" s="90"/>
      <c r="F56" s="91"/>
      <c r="G56" s="92"/>
      <c r="H56" s="56"/>
      <c r="I56" s="89"/>
      <c r="J56" s="89"/>
      <c r="K56" s="46"/>
      <c r="L56" s="46"/>
      <c r="M56" s="46"/>
      <c r="N56" s="46"/>
      <c r="O56" s="46"/>
      <c r="P56" s="46"/>
      <c r="Q56" s="46"/>
    </row>
    <row r="57" spans="1:17" s="43" customFormat="1" ht="13.5" thickTop="1" x14ac:dyDescent="0.2">
      <c r="A57" s="148" t="s">
        <v>39</v>
      </c>
      <c r="B57" s="148"/>
      <c r="C57" s="148"/>
      <c r="D57" s="148"/>
      <c r="E57" s="148"/>
      <c r="F57" s="148"/>
      <c r="G57" s="148"/>
      <c r="I57" s="46"/>
      <c r="J57" s="46"/>
      <c r="K57" s="46"/>
      <c r="L57" s="46"/>
      <c r="M57" s="46"/>
      <c r="N57" s="46"/>
      <c r="O57" s="46"/>
      <c r="P57" s="46"/>
      <c r="Q57" s="46"/>
    </row>
    <row r="58" spans="1:17" s="43" customFormat="1" ht="14.25" x14ac:dyDescent="0.25">
      <c r="A58" s="93" t="s">
        <v>125</v>
      </c>
      <c r="B58" s="56"/>
      <c r="C58" s="94">
        <f>(B56-F35)</f>
        <v>11.07</v>
      </c>
      <c r="D58" s="72" t="s">
        <v>40</v>
      </c>
      <c r="F58" s="56"/>
      <c r="G58" s="57"/>
    </row>
    <row r="59" spans="1:17" s="43" customFormat="1" x14ac:dyDescent="0.2">
      <c r="A59" s="119" t="s">
        <v>123</v>
      </c>
      <c r="B59" s="56"/>
      <c r="C59" s="95">
        <f>C58*60*60</f>
        <v>39852</v>
      </c>
      <c r="D59" s="72" t="s">
        <v>41</v>
      </c>
      <c r="F59" s="56"/>
      <c r="G59" s="57"/>
    </row>
    <row r="60" spans="1:17" s="43" customFormat="1" x14ac:dyDescent="0.2">
      <c r="A60" s="120"/>
      <c r="B60" s="153" t="s">
        <v>124</v>
      </c>
      <c r="C60" s="154"/>
      <c r="D60" s="121" t="s">
        <v>42</v>
      </c>
      <c r="E60" s="122">
        <v>224</v>
      </c>
      <c r="F60" s="121" t="s">
        <v>43</v>
      </c>
      <c r="G60" s="123"/>
    </row>
    <row r="61" spans="1:17" s="43" customFormat="1" x14ac:dyDescent="0.2">
      <c r="A61" s="96"/>
      <c r="B61" s="56"/>
      <c r="C61" s="56"/>
      <c r="D61" s="72" t="s">
        <v>44</v>
      </c>
      <c r="E61" s="59">
        <v>215</v>
      </c>
      <c r="F61" s="72" t="s">
        <v>43</v>
      </c>
      <c r="G61" s="57"/>
    </row>
    <row r="62" spans="1:17" s="43" customFormat="1" ht="13.5" thickBot="1" x14ac:dyDescent="0.25">
      <c r="A62" s="97"/>
      <c r="B62" s="98"/>
      <c r="C62" s="98"/>
      <c r="D62" s="99" t="s">
        <v>45</v>
      </c>
      <c r="E62" s="100">
        <f>C59/E60/E61</f>
        <v>0.83</v>
      </c>
      <c r="F62" s="101" t="s">
        <v>43</v>
      </c>
      <c r="G62" s="102"/>
    </row>
    <row r="63" spans="1:17" s="43" customFormat="1" ht="13.5" thickTop="1" x14ac:dyDescent="0.2">
      <c r="A63" s="150" t="s">
        <v>46</v>
      </c>
      <c r="B63" s="150"/>
      <c r="C63" s="150"/>
      <c r="D63" s="150"/>
      <c r="E63" s="150"/>
      <c r="F63" s="150"/>
      <c r="G63" s="150"/>
    </row>
    <row r="64" spans="1:17" s="43" customFormat="1" ht="13.5" thickBot="1" x14ac:dyDescent="0.25">
      <c r="A64" s="144" t="s">
        <v>130</v>
      </c>
      <c r="B64" s="144"/>
      <c r="C64" s="144"/>
      <c r="D64" s="144"/>
      <c r="E64" s="144"/>
      <c r="F64" s="144"/>
      <c r="G64" s="144"/>
    </row>
    <row r="65" spans="1:7" s="43" customFormat="1" ht="14.25" thickTop="1" thickBot="1" x14ac:dyDescent="0.25">
      <c r="A65" s="157"/>
      <c r="B65" s="157"/>
      <c r="C65" s="157"/>
      <c r="D65" s="157"/>
      <c r="E65" s="157"/>
      <c r="F65" s="157"/>
      <c r="G65" s="157"/>
    </row>
    <row r="66" spans="1:7" s="43" customFormat="1" ht="40.35" customHeight="1" thickTop="1" x14ac:dyDescent="0.2">
      <c r="A66" s="158" t="s">
        <v>121</v>
      </c>
      <c r="B66" s="158"/>
      <c r="C66" s="158"/>
      <c r="D66" s="158"/>
      <c r="E66" s="158"/>
      <c r="F66" s="158"/>
      <c r="G66" s="158"/>
    </row>
    <row r="67" spans="1:7" s="43" customFormat="1" ht="13.35" customHeight="1" x14ac:dyDescent="0.2">
      <c r="A67" s="52" t="s">
        <v>119</v>
      </c>
      <c r="B67" s="142" t="s">
        <v>47</v>
      </c>
      <c r="C67" s="142"/>
      <c r="D67" s="142"/>
      <c r="E67" s="142"/>
      <c r="F67" s="142"/>
      <c r="G67" s="142"/>
    </row>
    <row r="68" spans="1:7" s="43" customFormat="1" x14ac:dyDescent="0.2">
      <c r="A68" s="54" t="s">
        <v>120</v>
      </c>
      <c r="B68" s="103" t="s">
        <v>48</v>
      </c>
      <c r="C68" s="103"/>
      <c r="D68" s="103"/>
      <c r="E68" s="104"/>
      <c r="F68" s="104"/>
      <c r="G68" s="105"/>
    </row>
    <row r="69" spans="1:7" s="43" customFormat="1" ht="13.35" customHeight="1" x14ac:dyDescent="0.2">
      <c r="A69" s="54" t="s">
        <v>117</v>
      </c>
      <c r="B69" s="145" t="s">
        <v>49</v>
      </c>
      <c r="C69" s="145"/>
      <c r="D69" s="145"/>
      <c r="E69" s="145"/>
      <c r="F69" s="145"/>
      <c r="G69" s="145"/>
    </row>
    <row r="70" spans="1:7" s="43" customFormat="1" x14ac:dyDescent="0.2">
      <c r="A70" s="106" t="s">
        <v>50</v>
      </c>
      <c r="B70" s="104" t="s">
        <v>51</v>
      </c>
      <c r="C70" s="104"/>
      <c r="D70" s="104"/>
      <c r="E70" s="104"/>
      <c r="F70" s="104"/>
      <c r="G70" s="105"/>
    </row>
    <row r="71" spans="1:7" s="43" customFormat="1" ht="13.5" customHeight="1" thickBot="1" x14ac:dyDescent="0.25">
      <c r="A71" s="107" t="s">
        <v>52</v>
      </c>
      <c r="B71" s="108" t="s">
        <v>53</v>
      </c>
      <c r="C71" s="108"/>
      <c r="D71" s="108"/>
      <c r="E71" s="108"/>
      <c r="F71" s="108"/>
      <c r="G71" s="109"/>
    </row>
    <row r="72" spans="1:7" s="43" customFormat="1" x14ac:dyDescent="0.2">
      <c r="A72" s="159" t="s">
        <v>54</v>
      </c>
      <c r="B72" s="159"/>
      <c r="C72" s="159"/>
      <c r="D72" s="159"/>
      <c r="E72" s="159"/>
      <c r="F72" s="159"/>
      <c r="G72" s="159"/>
    </row>
    <row r="73" spans="1:7" s="43" customFormat="1" x14ac:dyDescent="0.2">
      <c r="A73" s="71" t="s">
        <v>122</v>
      </c>
      <c r="B73" s="61">
        <f>F35</f>
        <v>2.9649999999999999</v>
      </c>
      <c r="C73" s="72" t="s">
        <v>36</v>
      </c>
      <c r="D73" s="60" t="s">
        <v>55</v>
      </c>
      <c r="E73" s="129">
        <v>0.42</v>
      </c>
      <c r="F73" s="72" t="s">
        <v>56</v>
      </c>
      <c r="G73" s="57"/>
    </row>
    <row r="74" spans="1:7" s="43" customFormat="1" x14ac:dyDescent="0.2">
      <c r="A74" s="71" t="s">
        <v>22</v>
      </c>
      <c r="B74" s="110">
        <v>0.62</v>
      </c>
      <c r="C74" s="72" t="s">
        <v>57</v>
      </c>
      <c r="D74" s="60" t="s">
        <v>58</v>
      </c>
      <c r="E74" s="111">
        <f>B73/(B74*(2*B75*E73)^0.5)</f>
        <v>0.92</v>
      </c>
      <c r="F74" s="72" t="s">
        <v>59</v>
      </c>
      <c r="G74" s="57"/>
    </row>
    <row r="75" spans="1:7" s="43" customFormat="1" x14ac:dyDescent="0.2">
      <c r="A75" s="71" t="s">
        <v>60</v>
      </c>
      <c r="B75" s="110">
        <v>32.159999999999997</v>
      </c>
      <c r="C75" s="72" t="s">
        <v>61</v>
      </c>
      <c r="D75" s="46"/>
      <c r="E75" s="46"/>
      <c r="F75" s="56"/>
      <c r="G75" s="57"/>
    </row>
    <row r="76" spans="1:7" s="43" customFormat="1" ht="13.5" thickBot="1" x14ac:dyDescent="0.25">
      <c r="A76" s="75"/>
      <c r="B76" s="56"/>
      <c r="C76" s="56"/>
      <c r="D76" s="56"/>
      <c r="E76" s="56"/>
      <c r="F76" s="56"/>
      <c r="G76" s="57"/>
    </row>
    <row r="77" spans="1:7" s="43" customFormat="1" ht="13.5" thickBot="1" x14ac:dyDescent="0.25">
      <c r="A77" s="112" t="s">
        <v>62</v>
      </c>
      <c r="B77" s="113"/>
      <c r="C77" s="113"/>
      <c r="D77" s="130">
        <f>((E74/PI())^0.5)*2*12</f>
        <v>12.99</v>
      </c>
      <c r="E77" s="114" t="s">
        <v>63</v>
      </c>
      <c r="F77" s="113"/>
      <c r="G77" s="115"/>
    </row>
    <row r="78" spans="1:7" s="43" customFormat="1" ht="13.5" thickTop="1" x14ac:dyDescent="0.2">
      <c r="A78" s="116" t="s">
        <v>64</v>
      </c>
      <c r="B78" s="50"/>
      <c r="C78" s="50"/>
      <c r="D78" s="50"/>
      <c r="E78" s="50"/>
      <c r="F78" s="50"/>
      <c r="G78" s="51"/>
    </row>
    <row r="79" spans="1:7" s="43" customFormat="1" ht="13.35" customHeight="1" x14ac:dyDescent="0.2">
      <c r="A79" s="155" t="s">
        <v>109</v>
      </c>
      <c r="B79" s="155"/>
      <c r="C79" s="155"/>
      <c r="D79" s="155"/>
      <c r="E79" s="155"/>
      <c r="F79" s="155"/>
      <c r="G79" s="155"/>
    </row>
    <row r="80" spans="1:7" s="43" customFormat="1" ht="13.35" customHeight="1" x14ac:dyDescent="0.2">
      <c r="A80" s="155" t="s">
        <v>110</v>
      </c>
      <c r="B80" s="155"/>
      <c r="C80" s="155"/>
      <c r="D80" s="155"/>
      <c r="E80" s="155"/>
      <c r="F80" s="155"/>
      <c r="G80" s="155"/>
    </row>
    <row r="81" spans="1:7" s="43" customFormat="1" x14ac:dyDescent="0.2">
      <c r="A81" s="117" t="s">
        <v>111</v>
      </c>
      <c r="B81" s="46"/>
      <c r="C81" s="46"/>
      <c r="D81" s="46"/>
      <c r="E81" s="46"/>
      <c r="F81" s="46"/>
      <c r="G81" s="118"/>
    </row>
    <row r="82" spans="1:7" s="43" customFormat="1" ht="13.35" customHeight="1" x14ac:dyDescent="0.2">
      <c r="A82" s="155" t="s">
        <v>112</v>
      </c>
      <c r="B82" s="155"/>
      <c r="C82" s="155"/>
      <c r="D82" s="155"/>
      <c r="E82" s="155"/>
      <c r="F82" s="155"/>
      <c r="G82" s="155"/>
    </row>
    <row r="83" spans="1:7" s="43" customFormat="1" ht="13.35" customHeight="1" thickBot="1" x14ac:dyDescent="0.25">
      <c r="A83" s="156" t="s">
        <v>113</v>
      </c>
      <c r="B83" s="156"/>
      <c r="C83" s="156"/>
      <c r="D83" s="156"/>
      <c r="E83" s="156"/>
      <c r="F83" s="156"/>
      <c r="G83" s="156"/>
    </row>
  </sheetData>
  <mergeCells count="29">
    <mergeCell ref="A72:G72"/>
    <mergeCell ref="A79:G79"/>
    <mergeCell ref="A80:G80"/>
    <mergeCell ref="A82:G82"/>
    <mergeCell ref="A83:G83"/>
    <mergeCell ref="B69:G69"/>
    <mergeCell ref="A16:G16"/>
    <mergeCell ref="D35:E35"/>
    <mergeCell ref="A36:G36"/>
    <mergeCell ref="A37:G37"/>
    <mergeCell ref="A57:G57"/>
    <mergeCell ref="B60:C60"/>
    <mergeCell ref="A63:G63"/>
    <mergeCell ref="A64:G64"/>
    <mergeCell ref="A65:G65"/>
    <mergeCell ref="A66:G66"/>
    <mergeCell ref="B67:G67"/>
    <mergeCell ref="A15:G15"/>
    <mergeCell ref="B1:G1"/>
    <mergeCell ref="A2:G2"/>
    <mergeCell ref="A4:G4"/>
    <mergeCell ref="B5:G6"/>
    <mergeCell ref="B7:G7"/>
    <mergeCell ref="B8:G8"/>
    <mergeCell ref="B9:G9"/>
    <mergeCell ref="A10:G10"/>
    <mergeCell ref="B11:G12"/>
    <mergeCell ref="B13:G13"/>
    <mergeCell ref="B14:G14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17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4"/>
  <sheetViews>
    <sheetView workbookViewId="0">
      <selection activeCell="K27" sqref="K27"/>
    </sheetView>
  </sheetViews>
  <sheetFormatPr defaultColWidth="11.5703125" defaultRowHeight="12.75" x14ac:dyDescent="0.2"/>
  <cols>
    <col min="7" max="7" width="12.42578125" customWidth="1"/>
  </cols>
  <sheetData>
    <row r="1" spans="1:12" x14ac:dyDescent="0.2">
      <c r="A1" s="2" t="s">
        <v>65</v>
      </c>
      <c r="B1" s="3"/>
      <c r="C1" s="4"/>
      <c r="D1" s="5"/>
      <c r="H1" s="162" t="s">
        <v>66</v>
      </c>
      <c r="I1" s="162"/>
      <c r="J1" s="162"/>
      <c r="K1" s="162"/>
      <c r="L1" s="162"/>
    </row>
    <row r="2" spans="1:12" ht="12.95" customHeight="1" x14ac:dyDescent="0.2">
      <c r="A2" s="6" t="s">
        <v>67</v>
      </c>
      <c r="B2" s="7"/>
      <c r="C2" s="1"/>
      <c r="D2" s="8"/>
      <c r="H2" s="163" t="s">
        <v>134</v>
      </c>
      <c r="I2" s="163"/>
      <c r="J2" s="163"/>
      <c r="K2" s="163"/>
      <c r="L2" s="163"/>
    </row>
    <row r="3" spans="1:12" x14ac:dyDescent="0.2">
      <c r="A3" s="9" t="s">
        <v>68</v>
      </c>
      <c r="B3" s="10"/>
      <c r="C3" s="11"/>
      <c r="D3" s="12"/>
      <c r="H3" s="163"/>
      <c r="I3" s="163"/>
      <c r="J3" s="163"/>
      <c r="K3" s="163"/>
      <c r="L3" s="163"/>
    </row>
    <row r="4" spans="1:12" x14ac:dyDescent="0.2">
      <c r="H4" s="164" t="s">
        <v>69</v>
      </c>
      <c r="I4" s="164"/>
      <c r="J4" s="13"/>
      <c r="K4" s="14"/>
      <c r="L4" s="15"/>
    </row>
    <row r="5" spans="1:12" x14ac:dyDescent="0.2">
      <c r="A5" s="16" t="s">
        <v>70</v>
      </c>
      <c r="B5" s="16"/>
      <c r="H5" s="17" t="s">
        <v>71</v>
      </c>
      <c r="I5" s="18"/>
      <c r="J5" s="19"/>
      <c r="K5" s="20"/>
      <c r="L5" s="21" t="s">
        <v>72</v>
      </c>
    </row>
    <row r="6" spans="1:12" x14ac:dyDescent="0.2">
      <c r="A6" s="165" t="s">
        <v>73</v>
      </c>
      <c r="B6" s="165"/>
      <c r="C6" s="165"/>
      <c r="D6" s="165"/>
      <c r="E6" s="165"/>
      <c r="F6" s="165"/>
      <c r="H6" s="17" t="s">
        <v>74</v>
      </c>
      <c r="I6" s="18"/>
      <c r="J6" s="19"/>
      <c r="K6" s="22"/>
      <c r="L6" s="23" t="s">
        <v>75</v>
      </c>
    </row>
    <row r="7" spans="1:12" x14ac:dyDescent="0.2">
      <c r="A7" s="166" t="s">
        <v>76</v>
      </c>
      <c r="B7" s="166"/>
      <c r="C7" s="166"/>
      <c r="D7" s="166"/>
      <c r="E7" s="166"/>
      <c r="F7" s="166"/>
      <c r="H7" s="24" t="s">
        <v>77</v>
      </c>
      <c r="I7" s="18"/>
      <c r="J7" s="19"/>
      <c r="K7" s="22"/>
      <c r="L7" s="23"/>
    </row>
    <row r="8" spans="1:12" ht="22.5" x14ac:dyDescent="0.2">
      <c r="A8" s="25" t="s">
        <v>78</v>
      </c>
      <c r="B8" s="26" t="s">
        <v>79</v>
      </c>
      <c r="C8" s="27" t="s">
        <v>80</v>
      </c>
      <c r="D8" s="28" t="s">
        <v>81</v>
      </c>
      <c r="E8" s="28" t="s">
        <v>82</v>
      </c>
      <c r="F8" s="29" t="s">
        <v>83</v>
      </c>
      <c r="H8" s="17" t="s">
        <v>84</v>
      </c>
      <c r="I8" s="18"/>
      <c r="J8" s="19"/>
      <c r="K8" s="22"/>
      <c r="L8" s="23" t="s">
        <v>85</v>
      </c>
    </row>
    <row r="9" spans="1:12" x14ac:dyDescent="0.2">
      <c r="A9" s="30">
        <v>5</v>
      </c>
      <c r="B9" s="31">
        <f>2.815*1/(A9/60+0.282)^0.899</f>
        <v>6.96</v>
      </c>
      <c r="C9" s="31">
        <f>4.016*1/(A9/60+0.347)^0.826</f>
        <v>8.06</v>
      </c>
      <c r="D9" s="31">
        <f>4.611*1/(A9/60+0.346)^0.798</f>
        <v>9.0500000000000007</v>
      </c>
      <c r="E9" s="31">
        <f>5.097*1/(A9/60+0.351)^0.783</f>
        <v>9.7899999999999991</v>
      </c>
      <c r="F9" s="32">
        <f>5.487*1/(A9/60+0.334)^0.759</f>
        <v>10.65</v>
      </c>
      <c r="H9" s="17" t="s">
        <v>86</v>
      </c>
      <c r="I9" s="18"/>
      <c r="J9" s="19"/>
      <c r="K9" s="22"/>
      <c r="L9" s="23" t="s">
        <v>87</v>
      </c>
    </row>
    <row r="10" spans="1:12" x14ac:dyDescent="0.2">
      <c r="A10" s="33">
        <v>6</v>
      </c>
      <c r="B10" s="31">
        <f t="shared" ref="B10:B64" si="0">2.815*1/(A10/60+0.282)^0.899</f>
        <v>6.69</v>
      </c>
      <c r="C10" s="31">
        <f t="shared" ref="C10:C64" si="1">4.016*1/(A10/60+0.347)^0.826</f>
        <v>7.81</v>
      </c>
      <c r="D10" s="31">
        <f t="shared" ref="D10:D64" si="2">4.611*1/(A10/60+0.346)^0.798</f>
        <v>8.7799999999999994</v>
      </c>
      <c r="E10" s="31">
        <f t="shared" ref="E10:E64" si="3">5.097*1/(A10/60+0.351)^0.783</f>
        <v>9.51</v>
      </c>
      <c r="F10" s="32">
        <f t="shared" ref="F10:F64" si="4">5.487*1/(A10/60+0.334)^0.759</f>
        <v>10.34</v>
      </c>
      <c r="H10" s="17" t="s">
        <v>88</v>
      </c>
      <c r="I10" s="18"/>
      <c r="J10" s="19"/>
      <c r="K10" s="22"/>
      <c r="L10" s="23" t="s">
        <v>89</v>
      </c>
    </row>
    <row r="11" spans="1:12" x14ac:dyDescent="0.2">
      <c r="A11" s="33">
        <v>7</v>
      </c>
      <c r="B11" s="31">
        <f t="shared" si="0"/>
        <v>6.43</v>
      </c>
      <c r="C11" s="31">
        <f t="shared" si="1"/>
        <v>7.58</v>
      </c>
      <c r="D11" s="31">
        <f t="shared" si="2"/>
        <v>8.5299999999999994</v>
      </c>
      <c r="E11" s="31">
        <f t="shared" si="3"/>
        <v>9.24</v>
      </c>
      <c r="F11" s="32">
        <f t="shared" si="4"/>
        <v>10.050000000000001</v>
      </c>
      <c r="H11" s="17" t="s">
        <v>90</v>
      </c>
      <c r="I11" s="18"/>
      <c r="J11" s="19"/>
      <c r="K11" s="22"/>
      <c r="L11" s="23" t="s">
        <v>91</v>
      </c>
    </row>
    <row r="12" spans="1:12" x14ac:dyDescent="0.2">
      <c r="A12" s="33">
        <v>8</v>
      </c>
      <c r="B12" s="31">
        <f t="shared" si="0"/>
        <v>6.2</v>
      </c>
      <c r="C12" s="31">
        <f t="shared" si="1"/>
        <v>7.36</v>
      </c>
      <c r="D12" s="31">
        <f t="shared" si="2"/>
        <v>8.2899999999999991</v>
      </c>
      <c r="E12" s="31">
        <f t="shared" si="3"/>
        <v>8.99</v>
      </c>
      <c r="F12" s="32">
        <f t="shared" si="4"/>
        <v>9.77</v>
      </c>
      <c r="H12" s="17" t="s">
        <v>92</v>
      </c>
      <c r="I12" s="18"/>
      <c r="J12" s="19"/>
      <c r="K12" s="22"/>
      <c r="L12" s="23" t="s">
        <v>93</v>
      </c>
    </row>
    <row r="13" spans="1:12" x14ac:dyDescent="0.2">
      <c r="A13" s="33">
        <v>9</v>
      </c>
      <c r="B13" s="31">
        <f t="shared" si="0"/>
        <v>5.99</v>
      </c>
      <c r="C13" s="31">
        <f t="shared" si="1"/>
        <v>7.15</v>
      </c>
      <c r="D13" s="31">
        <f t="shared" si="2"/>
        <v>8.07</v>
      </c>
      <c r="E13" s="31">
        <f t="shared" si="3"/>
        <v>8.76</v>
      </c>
      <c r="F13" s="32">
        <f t="shared" si="4"/>
        <v>9.52</v>
      </c>
      <c r="H13" s="34" t="s">
        <v>94</v>
      </c>
      <c r="I13" s="19"/>
      <c r="J13" s="19"/>
      <c r="K13" s="22"/>
      <c r="L13" s="23"/>
    </row>
    <row r="14" spans="1:12" x14ac:dyDescent="0.2">
      <c r="A14" s="33">
        <v>10</v>
      </c>
      <c r="B14" s="31">
        <f t="shared" si="0"/>
        <v>5.79</v>
      </c>
      <c r="C14" s="31">
        <f t="shared" si="1"/>
        <v>6.96</v>
      </c>
      <c r="D14" s="31">
        <f t="shared" si="2"/>
        <v>7.86</v>
      </c>
      <c r="E14" s="31">
        <f t="shared" si="3"/>
        <v>8.5399999999999991</v>
      </c>
      <c r="F14" s="32">
        <f t="shared" si="4"/>
        <v>9.2799999999999994</v>
      </c>
      <c r="H14" s="35" t="s">
        <v>95</v>
      </c>
      <c r="I14" s="19"/>
      <c r="J14" s="19"/>
      <c r="K14" s="22"/>
      <c r="L14" s="23" t="s">
        <v>96</v>
      </c>
    </row>
    <row r="15" spans="1:12" x14ac:dyDescent="0.2">
      <c r="A15" s="33">
        <v>11</v>
      </c>
      <c r="B15" s="31">
        <f t="shared" si="0"/>
        <v>5.6</v>
      </c>
      <c r="C15" s="31">
        <f t="shared" si="1"/>
        <v>6.78</v>
      </c>
      <c r="D15" s="31">
        <f t="shared" si="2"/>
        <v>7.66</v>
      </c>
      <c r="E15" s="31">
        <f t="shared" si="3"/>
        <v>8.33</v>
      </c>
      <c r="F15" s="32">
        <f t="shared" si="4"/>
        <v>9.0500000000000007</v>
      </c>
      <c r="H15" s="35" t="s">
        <v>97</v>
      </c>
      <c r="I15" s="19"/>
      <c r="J15" s="19"/>
      <c r="K15" s="22"/>
      <c r="L15" s="23" t="s">
        <v>98</v>
      </c>
    </row>
    <row r="16" spans="1:12" x14ac:dyDescent="0.2">
      <c r="A16" s="33">
        <v>12</v>
      </c>
      <c r="B16" s="31">
        <f t="shared" si="0"/>
        <v>5.43</v>
      </c>
      <c r="C16" s="31">
        <f t="shared" si="1"/>
        <v>6.61</v>
      </c>
      <c r="D16" s="31">
        <f t="shared" si="2"/>
        <v>7.47</v>
      </c>
      <c r="E16" s="31">
        <f t="shared" si="3"/>
        <v>8.1300000000000008</v>
      </c>
      <c r="F16" s="32">
        <f t="shared" si="4"/>
        <v>8.83</v>
      </c>
      <c r="H16" s="17" t="s">
        <v>99</v>
      </c>
      <c r="I16" s="19"/>
      <c r="J16" s="19"/>
      <c r="K16" s="22"/>
      <c r="L16" s="23" t="s">
        <v>100</v>
      </c>
    </row>
    <row r="17" spans="1:12" x14ac:dyDescent="0.2">
      <c r="A17" s="33">
        <v>13</v>
      </c>
      <c r="B17" s="31">
        <f t="shared" si="0"/>
        <v>5.26</v>
      </c>
      <c r="C17" s="31">
        <f t="shared" si="1"/>
        <v>6.45</v>
      </c>
      <c r="D17" s="31">
        <f t="shared" si="2"/>
        <v>7.3</v>
      </c>
      <c r="E17" s="31">
        <f t="shared" si="3"/>
        <v>7.94</v>
      </c>
      <c r="F17" s="32">
        <f t="shared" si="4"/>
        <v>8.6300000000000008</v>
      </c>
      <c r="H17" s="35" t="s">
        <v>101</v>
      </c>
      <c r="I17" s="19"/>
      <c r="J17" s="19"/>
      <c r="K17" s="22"/>
      <c r="L17" s="23" t="s">
        <v>102</v>
      </c>
    </row>
    <row r="18" spans="1:12" x14ac:dyDescent="0.2">
      <c r="A18" s="33">
        <v>14</v>
      </c>
      <c r="B18" s="31">
        <f t="shared" si="0"/>
        <v>5.1100000000000003</v>
      </c>
      <c r="C18" s="31">
        <f t="shared" si="1"/>
        <v>6.3</v>
      </c>
      <c r="D18" s="31">
        <f t="shared" si="2"/>
        <v>7.13</v>
      </c>
      <c r="E18" s="31">
        <f t="shared" si="3"/>
        <v>7.76</v>
      </c>
      <c r="F18" s="32">
        <f t="shared" si="4"/>
        <v>8.44</v>
      </c>
      <c r="H18" s="36" t="s">
        <v>103</v>
      </c>
      <c r="I18" s="37"/>
      <c r="J18" s="37"/>
      <c r="K18" s="38"/>
      <c r="L18" s="39" t="s">
        <v>104</v>
      </c>
    </row>
    <row r="19" spans="1:12" x14ac:dyDescent="0.2">
      <c r="A19" s="33">
        <v>15</v>
      </c>
      <c r="B19" s="31">
        <f t="shared" si="0"/>
        <v>4.96</v>
      </c>
      <c r="C19" s="31">
        <f t="shared" si="1"/>
        <v>6.15</v>
      </c>
      <c r="D19" s="31">
        <f t="shared" si="2"/>
        <v>6.97</v>
      </c>
      <c r="E19" s="31">
        <f t="shared" si="3"/>
        <v>7.59</v>
      </c>
      <c r="F19" s="32">
        <f t="shared" si="4"/>
        <v>8.25</v>
      </c>
    </row>
    <row r="20" spans="1:12" x14ac:dyDescent="0.2">
      <c r="A20" s="33">
        <v>16</v>
      </c>
      <c r="B20" s="31">
        <f t="shared" si="0"/>
        <v>4.83</v>
      </c>
      <c r="C20" s="31">
        <f t="shared" si="1"/>
        <v>6.01</v>
      </c>
      <c r="D20" s="31">
        <f t="shared" si="2"/>
        <v>6.82</v>
      </c>
      <c r="E20" s="31">
        <f t="shared" si="3"/>
        <v>7.43</v>
      </c>
      <c r="F20" s="32">
        <f t="shared" si="4"/>
        <v>8.08</v>
      </c>
    </row>
    <row r="21" spans="1:12" x14ac:dyDescent="0.2">
      <c r="A21" s="33">
        <v>17</v>
      </c>
      <c r="B21" s="31">
        <f t="shared" si="0"/>
        <v>4.7</v>
      </c>
      <c r="C21" s="31">
        <f t="shared" si="1"/>
        <v>5.88</v>
      </c>
      <c r="D21" s="31">
        <f t="shared" si="2"/>
        <v>6.67</v>
      </c>
      <c r="E21" s="31">
        <f t="shared" si="3"/>
        <v>7.28</v>
      </c>
      <c r="F21" s="32">
        <f t="shared" si="4"/>
        <v>7.91</v>
      </c>
    </row>
    <row r="22" spans="1:12" x14ac:dyDescent="0.2">
      <c r="A22" s="33">
        <v>18</v>
      </c>
      <c r="B22" s="31">
        <f t="shared" si="0"/>
        <v>4.58</v>
      </c>
      <c r="C22" s="31">
        <f t="shared" si="1"/>
        <v>5.75</v>
      </c>
      <c r="D22" s="31">
        <f t="shared" si="2"/>
        <v>6.53</v>
      </c>
      <c r="E22" s="31">
        <f t="shared" si="3"/>
        <v>7.13</v>
      </c>
      <c r="F22" s="32">
        <f t="shared" si="4"/>
        <v>7.75</v>
      </c>
      <c r="G22" s="131" t="s">
        <v>137</v>
      </c>
      <c r="H22">
        <f>'10 Year event'!C32</f>
        <v>14.87</v>
      </c>
    </row>
    <row r="23" spans="1:12" x14ac:dyDescent="0.2">
      <c r="A23" s="33">
        <v>19</v>
      </c>
      <c r="B23" s="31">
        <f t="shared" si="0"/>
        <v>4.46</v>
      </c>
      <c r="C23" s="31">
        <f t="shared" si="1"/>
        <v>5.63</v>
      </c>
      <c r="D23" s="31">
        <f t="shared" si="2"/>
        <v>6.4</v>
      </c>
      <c r="E23" s="31">
        <f t="shared" si="3"/>
        <v>6.99</v>
      </c>
      <c r="F23" s="32">
        <f t="shared" si="4"/>
        <v>7.6</v>
      </c>
      <c r="H23" s="125">
        <f>C18</f>
        <v>6.3</v>
      </c>
      <c r="I23" s="126" t="s">
        <v>135</v>
      </c>
      <c r="J23" s="125">
        <f>C19</f>
        <v>6.15</v>
      </c>
      <c r="K23" s="125">
        <f>H23-J23</f>
        <v>0.15</v>
      </c>
    </row>
    <row r="24" spans="1:12" x14ac:dyDescent="0.2">
      <c r="A24" s="33">
        <v>20</v>
      </c>
      <c r="B24" s="31">
        <f t="shared" si="0"/>
        <v>4.3600000000000003</v>
      </c>
      <c r="C24" s="31">
        <f t="shared" si="1"/>
        <v>5.52</v>
      </c>
      <c r="D24" s="31">
        <f t="shared" si="2"/>
        <v>6.28</v>
      </c>
      <c r="E24" s="31">
        <f t="shared" si="3"/>
        <v>6.86</v>
      </c>
      <c r="F24" s="32">
        <f t="shared" si="4"/>
        <v>7.46</v>
      </c>
      <c r="J24" s="127" t="s">
        <v>136</v>
      </c>
      <c r="K24" s="128">
        <f>H22-14</f>
        <v>0.87</v>
      </c>
      <c r="L24" s="127"/>
    </row>
    <row r="25" spans="1:12" x14ac:dyDescent="0.2">
      <c r="A25" s="33">
        <v>21</v>
      </c>
      <c r="B25" s="31">
        <f t="shared" si="0"/>
        <v>4.25</v>
      </c>
      <c r="C25" s="31">
        <f t="shared" si="1"/>
        <v>5.41</v>
      </c>
      <c r="D25" s="31">
        <f t="shared" si="2"/>
        <v>6.16</v>
      </c>
      <c r="E25" s="31">
        <f t="shared" si="3"/>
        <v>6.73</v>
      </c>
      <c r="F25" s="32">
        <f t="shared" si="4"/>
        <v>7.32</v>
      </c>
      <c r="K25" s="128">
        <f>K23*K24</f>
        <v>0.1305</v>
      </c>
    </row>
    <row r="26" spans="1:12" x14ac:dyDescent="0.2">
      <c r="A26" s="33">
        <v>22</v>
      </c>
      <c r="B26" s="31">
        <f t="shared" si="0"/>
        <v>4.1500000000000004</v>
      </c>
      <c r="C26" s="31">
        <f t="shared" si="1"/>
        <v>5.31</v>
      </c>
      <c r="D26" s="31">
        <f t="shared" si="2"/>
        <v>6.04</v>
      </c>
      <c r="E26" s="31">
        <f t="shared" si="3"/>
        <v>6.61</v>
      </c>
      <c r="F26" s="32">
        <f t="shared" si="4"/>
        <v>7.19</v>
      </c>
      <c r="H26" s="161" t="s">
        <v>142</v>
      </c>
      <c r="I26" s="161"/>
      <c r="J26" s="161"/>
      <c r="K26" s="128">
        <f>H23-K25</f>
        <v>6.1695000000000002</v>
      </c>
      <c r="L26" t="s">
        <v>35</v>
      </c>
    </row>
    <row r="27" spans="1:12" x14ac:dyDescent="0.2">
      <c r="A27" s="33">
        <v>23</v>
      </c>
      <c r="B27" s="31">
        <f t="shared" si="0"/>
        <v>4.0599999999999996</v>
      </c>
      <c r="C27" s="31">
        <f t="shared" si="1"/>
        <v>5.21</v>
      </c>
      <c r="D27" s="31">
        <f t="shared" si="2"/>
        <v>5.93</v>
      </c>
      <c r="E27" s="31">
        <f t="shared" si="3"/>
        <v>6.49</v>
      </c>
      <c r="F27" s="32">
        <f t="shared" si="4"/>
        <v>7.06</v>
      </c>
    </row>
    <row r="28" spans="1:12" x14ac:dyDescent="0.2">
      <c r="A28" s="33">
        <v>24</v>
      </c>
      <c r="B28" s="31">
        <f t="shared" si="0"/>
        <v>3.97</v>
      </c>
      <c r="C28" s="31">
        <f t="shared" si="1"/>
        <v>5.1100000000000003</v>
      </c>
      <c r="D28" s="31">
        <f t="shared" si="2"/>
        <v>5.83</v>
      </c>
      <c r="E28" s="31">
        <f t="shared" si="3"/>
        <v>6.38</v>
      </c>
      <c r="F28" s="32">
        <f t="shared" si="4"/>
        <v>6.94</v>
      </c>
    </row>
    <row r="29" spans="1:12" x14ac:dyDescent="0.2">
      <c r="A29" s="33">
        <v>25</v>
      </c>
      <c r="B29" s="31">
        <f t="shared" si="0"/>
        <v>3.89</v>
      </c>
      <c r="C29" s="31">
        <f t="shared" si="1"/>
        <v>5.0199999999999996</v>
      </c>
      <c r="D29" s="31">
        <f t="shared" si="2"/>
        <v>5.72</v>
      </c>
      <c r="E29" s="31">
        <f t="shared" si="3"/>
        <v>6.27</v>
      </c>
      <c r="F29" s="32">
        <f t="shared" si="4"/>
        <v>6.82</v>
      </c>
      <c r="G29" s="131" t="s">
        <v>138</v>
      </c>
      <c r="H29">
        <f>'10 Year event'!C53</f>
        <v>7.13</v>
      </c>
    </row>
    <row r="30" spans="1:12" x14ac:dyDescent="0.2">
      <c r="A30" s="33">
        <v>26</v>
      </c>
      <c r="B30" s="31">
        <f t="shared" si="0"/>
        <v>3.8</v>
      </c>
      <c r="C30" s="31">
        <f t="shared" si="1"/>
        <v>4.93</v>
      </c>
      <c r="D30" s="31">
        <f t="shared" si="2"/>
        <v>5.63</v>
      </c>
      <c r="E30" s="31">
        <f t="shared" si="3"/>
        <v>6.16</v>
      </c>
      <c r="F30" s="32">
        <f t="shared" si="4"/>
        <v>6.71</v>
      </c>
      <c r="H30" s="125">
        <f>C11</f>
        <v>7.58</v>
      </c>
      <c r="I30" s="126" t="s">
        <v>135</v>
      </c>
      <c r="J30" s="125">
        <f>C12</f>
        <v>7.36</v>
      </c>
      <c r="K30" s="125">
        <f>H30-J30</f>
        <v>0.22</v>
      </c>
    </row>
    <row r="31" spans="1:12" x14ac:dyDescent="0.2">
      <c r="A31" s="33">
        <v>27</v>
      </c>
      <c r="B31" s="31">
        <f t="shared" si="0"/>
        <v>3.73</v>
      </c>
      <c r="C31" s="31">
        <f t="shared" si="1"/>
        <v>4.84</v>
      </c>
      <c r="D31" s="31">
        <f t="shared" si="2"/>
        <v>5.53</v>
      </c>
      <c r="E31" s="31">
        <f t="shared" si="3"/>
        <v>6.06</v>
      </c>
      <c r="F31" s="32">
        <f t="shared" si="4"/>
        <v>6.6</v>
      </c>
      <c r="J31" s="127" t="s">
        <v>136</v>
      </c>
      <c r="K31" s="128">
        <f>H29-7</f>
        <v>0.13</v>
      </c>
    </row>
    <row r="32" spans="1:12" x14ac:dyDescent="0.2">
      <c r="A32" s="33">
        <v>28</v>
      </c>
      <c r="B32" s="31">
        <f t="shared" si="0"/>
        <v>3.65</v>
      </c>
      <c r="C32" s="31">
        <f t="shared" si="1"/>
        <v>4.76</v>
      </c>
      <c r="D32" s="31">
        <f t="shared" si="2"/>
        <v>5.44</v>
      </c>
      <c r="E32" s="31">
        <f t="shared" si="3"/>
        <v>5.97</v>
      </c>
      <c r="F32" s="32">
        <f t="shared" si="4"/>
        <v>6.5</v>
      </c>
      <c r="K32" s="128">
        <f>K30*K31</f>
        <v>2.86E-2</v>
      </c>
    </row>
    <row r="33" spans="1:12" x14ac:dyDescent="0.2">
      <c r="A33" s="33">
        <v>29</v>
      </c>
      <c r="B33" s="31">
        <f t="shared" si="0"/>
        <v>3.58</v>
      </c>
      <c r="C33" s="31">
        <f t="shared" si="1"/>
        <v>4.68</v>
      </c>
      <c r="D33" s="31">
        <f t="shared" si="2"/>
        <v>5.35</v>
      </c>
      <c r="E33" s="31">
        <f t="shared" si="3"/>
        <v>5.87</v>
      </c>
      <c r="F33" s="32">
        <f t="shared" si="4"/>
        <v>6.39</v>
      </c>
      <c r="H33" s="161" t="s">
        <v>142</v>
      </c>
      <c r="I33" s="161"/>
      <c r="J33" s="161"/>
      <c r="K33" s="128">
        <f>H30-K32</f>
        <v>7.5514000000000001</v>
      </c>
      <c r="L33" t="s">
        <v>35</v>
      </c>
    </row>
    <row r="34" spans="1:12" x14ac:dyDescent="0.2">
      <c r="A34" s="33">
        <v>30</v>
      </c>
      <c r="B34" s="31">
        <f t="shared" si="0"/>
        <v>3.51</v>
      </c>
      <c r="C34" s="31">
        <f t="shared" si="1"/>
        <v>4.6100000000000003</v>
      </c>
      <c r="D34" s="31">
        <f t="shared" si="2"/>
        <v>5.27</v>
      </c>
      <c r="E34" s="31">
        <f t="shared" si="3"/>
        <v>5.78</v>
      </c>
      <c r="F34" s="32">
        <f t="shared" si="4"/>
        <v>6.3</v>
      </c>
    </row>
    <row r="35" spans="1:12" x14ac:dyDescent="0.2">
      <c r="A35" s="33">
        <v>31</v>
      </c>
      <c r="B35" s="31">
        <f t="shared" si="0"/>
        <v>3.45</v>
      </c>
      <c r="C35" s="31">
        <f t="shared" si="1"/>
        <v>4.53</v>
      </c>
      <c r="D35" s="31">
        <f t="shared" si="2"/>
        <v>5.19</v>
      </c>
      <c r="E35" s="31">
        <f t="shared" si="3"/>
        <v>5.7</v>
      </c>
      <c r="F35" s="32">
        <f t="shared" si="4"/>
        <v>6.2</v>
      </c>
    </row>
    <row r="36" spans="1:12" x14ac:dyDescent="0.2">
      <c r="A36" s="33">
        <v>32</v>
      </c>
      <c r="B36" s="31">
        <f t="shared" si="0"/>
        <v>3.38</v>
      </c>
      <c r="C36" s="31">
        <f t="shared" si="1"/>
        <v>4.46</v>
      </c>
      <c r="D36" s="31">
        <f t="shared" si="2"/>
        <v>5.1100000000000003</v>
      </c>
      <c r="E36" s="31">
        <f t="shared" si="3"/>
        <v>5.61</v>
      </c>
      <c r="F36" s="32">
        <f t="shared" si="4"/>
        <v>6.11</v>
      </c>
    </row>
    <row r="37" spans="1:12" x14ac:dyDescent="0.2">
      <c r="A37" s="33">
        <v>33</v>
      </c>
      <c r="B37" s="31">
        <f t="shared" si="0"/>
        <v>3.32</v>
      </c>
      <c r="C37" s="31">
        <f t="shared" si="1"/>
        <v>4.3899999999999997</v>
      </c>
      <c r="D37" s="31">
        <f t="shared" si="2"/>
        <v>5.03</v>
      </c>
      <c r="E37" s="31">
        <f t="shared" si="3"/>
        <v>5.53</v>
      </c>
      <c r="F37" s="32">
        <f t="shared" si="4"/>
        <v>6.03</v>
      </c>
      <c r="G37" s="131" t="s">
        <v>139</v>
      </c>
      <c r="H37">
        <f>'100 Year event'!C32</f>
        <v>14.74</v>
      </c>
    </row>
    <row r="38" spans="1:12" x14ac:dyDescent="0.2">
      <c r="A38" s="33">
        <v>34</v>
      </c>
      <c r="B38" s="31">
        <f t="shared" si="0"/>
        <v>3.26</v>
      </c>
      <c r="C38" s="31">
        <f t="shared" si="1"/>
        <v>4.33</v>
      </c>
      <c r="D38" s="31">
        <f t="shared" si="2"/>
        <v>4.96</v>
      </c>
      <c r="E38" s="31">
        <f t="shared" si="3"/>
        <v>5.45</v>
      </c>
      <c r="F38" s="32">
        <f t="shared" si="4"/>
        <v>5.94</v>
      </c>
      <c r="H38" s="125">
        <f>F18</f>
        <v>8.44</v>
      </c>
      <c r="I38" s="126" t="s">
        <v>135</v>
      </c>
      <c r="J38" s="125">
        <f>F19</f>
        <v>8.25</v>
      </c>
      <c r="K38" s="125">
        <f>H38-J38</f>
        <v>0.19</v>
      </c>
    </row>
    <row r="39" spans="1:12" x14ac:dyDescent="0.2">
      <c r="A39" s="33">
        <v>35</v>
      </c>
      <c r="B39" s="31">
        <f t="shared" si="0"/>
        <v>3.21</v>
      </c>
      <c r="C39" s="31">
        <f t="shared" si="1"/>
        <v>4.26</v>
      </c>
      <c r="D39" s="31">
        <f t="shared" si="2"/>
        <v>4.8899999999999997</v>
      </c>
      <c r="E39" s="31">
        <f t="shared" si="3"/>
        <v>5.38</v>
      </c>
      <c r="F39" s="32">
        <f t="shared" si="4"/>
        <v>5.86</v>
      </c>
      <c r="J39" s="127" t="s">
        <v>136</v>
      </c>
      <c r="K39" s="128">
        <f>H37-14</f>
        <v>0.74</v>
      </c>
    </row>
    <row r="40" spans="1:12" x14ac:dyDescent="0.2">
      <c r="A40" s="33">
        <v>36</v>
      </c>
      <c r="B40" s="31">
        <f t="shared" si="0"/>
        <v>3.15</v>
      </c>
      <c r="C40" s="31">
        <f t="shared" si="1"/>
        <v>4.2</v>
      </c>
      <c r="D40" s="31">
        <f t="shared" si="2"/>
        <v>4.82</v>
      </c>
      <c r="E40" s="31">
        <f t="shared" si="3"/>
        <v>5.3</v>
      </c>
      <c r="F40" s="32">
        <f t="shared" si="4"/>
        <v>5.78</v>
      </c>
      <c r="K40" s="128">
        <f>K38*K39</f>
        <v>0.1406</v>
      </c>
    </row>
    <row r="41" spans="1:12" x14ac:dyDescent="0.2">
      <c r="A41" s="33">
        <v>37</v>
      </c>
      <c r="B41" s="31">
        <f t="shared" si="0"/>
        <v>3.1</v>
      </c>
      <c r="C41" s="31">
        <f t="shared" si="1"/>
        <v>4.1399999999999997</v>
      </c>
      <c r="D41" s="31">
        <f t="shared" si="2"/>
        <v>4.75</v>
      </c>
      <c r="E41" s="31">
        <f t="shared" si="3"/>
        <v>5.23</v>
      </c>
      <c r="F41" s="32">
        <f t="shared" si="4"/>
        <v>5.7</v>
      </c>
      <c r="H41" s="161" t="s">
        <v>142</v>
      </c>
      <c r="I41" s="161"/>
      <c r="J41" s="161"/>
      <c r="K41" s="128">
        <f>H38-K40</f>
        <v>8.2994000000000003</v>
      </c>
      <c r="L41" t="s">
        <v>35</v>
      </c>
    </row>
    <row r="42" spans="1:12" x14ac:dyDescent="0.2">
      <c r="A42" s="33">
        <v>38</v>
      </c>
      <c r="B42" s="31">
        <f t="shared" si="0"/>
        <v>3.05</v>
      </c>
      <c r="C42" s="31">
        <f t="shared" si="1"/>
        <v>4.08</v>
      </c>
      <c r="D42" s="31">
        <f t="shared" si="2"/>
        <v>4.6900000000000004</v>
      </c>
      <c r="E42" s="31">
        <f t="shared" si="3"/>
        <v>5.16</v>
      </c>
      <c r="F42" s="32">
        <f t="shared" si="4"/>
        <v>5.63</v>
      </c>
    </row>
    <row r="43" spans="1:12" x14ac:dyDescent="0.2">
      <c r="A43" s="33">
        <v>39</v>
      </c>
      <c r="B43" s="31">
        <f t="shared" si="0"/>
        <v>3</v>
      </c>
      <c r="C43" s="31">
        <f t="shared" si="1"/>
        <v>4.03</v>
      </c>
      <c r="D43" s="31">
        <f t="shared" si="2"/>
        <v>4.63</v>
      </c>
      <c r="E43" s="31">
        <f t="shared" si="3"/>
        <v>5.09</v>
      </c>
      <c r="F43" s="32">
        <f t="shared" si="4"/>
        <v>5.55</v>
      </c>
    </row>
    <row r="44" spans="1:12" x14ac:dyDescent="0.2">
      <c r="A44" s="33">
        <v>40</v>
      </c>
      <c r="B44" s="31">
        <f t="shared" si="0"/>
        <v>2.95</v>
      </c>
      <c r="C44" s="31">
        <f t="shared" si="1"/>
        <v>3.97</v>
      </c>
      <c r="D44" s="31">
        <f t="shared" si="2"/>
        <v>4.5599999999999996</v>
      </c>
      <c r="E44" s="31">
        <f t="shared" si="3"/>
        <v>5.03</v>
      </c>
      <c r="F44" s="32">
        <f t="shared" si="4"/>
        <v>5.48</v>
      </c>
      <c r="G44" s="131" t="s">
        <v>140</v>
      </c>
      <c r="H44">
        <f>'100 Year event'!C53</f>
        <v>7.13</v>
      </c>
    </row>
    <row r="45" spans="1:12" x14ac:dyDescent="0.2">
      <c r="A45" s="33">
        <v>41</v>
      </c>
      <c r="B45" s="31">
        <f t="shared" si="0"/>
        <v>2.91</v>
      </c>
      <c r="C45" s="31">
        <f t="shared" si="1"/>
        <v>3.92</v>
      </c>
      <c r="D45" s="31">
        <f t="shared" si="2"/>
        <v>4.51</v>
      </c>
      <c r="E45" s="31">
        <f t="shared" si="3"/>
        <v>4.96</v>
      </c>
      <c r="F45" s="32">
        <f t="shared" si="4"/>
        <v>5.42</v>
      </c>
      <c r="H45" s="125">
        <f>F11</f>
        <v>10.050000000000001</v>
      </c>
      <c r="I45" s="126" t="s">
        <v>135</v>
      </c>
      <c r="J45" s="125">
        <f>F12</f>
        <v>9.77</v>
      </c>
      <c r="K45" s="125">
        <f>H45-J45</f>
        <v>0.28000000000000003</v>
      </c>
    </row>
    <row r="46" spans="1:12" x14ac:dyDescent="0.2">
      <c r="A46" s="33">
        <v>42</v>
      </c>
      <c r="B46" s="31">
        <f t="shared" si="0"/>
        <v>2.86</v>
      </c>
      <c r="C46" s="31">
        <f t="shared" si="1"/>
        <v>3.87</v>
      </c>
      <c r="D46" s="31">
        <f t="shared" si="2"/>
        <v>4.45</v>
      </c>
      <c r="E46" s="31">
        <f t="shared" si="3"/>
        <v>4.9000000000000004</v>
      </c>
      <c r="F46" s="32">
        <f t="shared" si="4"/>
        <v>5.35</v>
      </c>
      <c r="J46" s="127" t="s">
        <v>136</v>
      </c>
      <c r="K46" s="128">
        <f>H44-7</f>
        <v>0.13</v>
      </c>
    </row>
    <row r="47" spans="1:12" x14ac:dyDescent="0.2">
      <c r="A47" s="33">
        <v>43</v>
      </c>
      <c r="B47" s="31">
        <f t="shared" si="0"/>
        <v>2.82</v>
      </c>
      <c r="C47" s="31">
        <f t="shared" si="1"/>
        <v>3.82</v>
      </c>
      <c r="D47" s="31">
        <f t="shared" si="2"/>
        <v>4.3899999999999997</v>
      </c>
      <c r="E47" s="31">
        <f t="shared" si="3"/>
        <v>4.84</v>
      </c>
      <c r="F47" s="32">
        <f t="shared" si="4"/>
        <v>5.28</v>
      </c>
      <c r="K47" s="128">
        <f>K45*K46</f>
        <v>3.6400000000000002E-2</v>
      </c>
    </row>
    <row r="48" spans="1:12" x14ac:dyDescent="0.2">
      <c r="A48" s="33">
        <v>44</v>
      </c>
      <c r="B48" s="31">
        <f t="shared" si="0"/>
        <v>2.78</v>
      </c>
      <c r="C48" s="31">
        <f t="shared" si="1"/>
        <v>3.77</v>
      </c>
      <c r="D48" s="31">
        <f t="shared" si="2"/>
        <v>4.34</v>
      </c>
      <c r="E48" s="31">
        <f t="shared" si="3"/>
        <v>4.78</v>
      </c>
      <c r="F48" s="32">
        <f t="shared" si="4"/>
        <v>5.22</v>
      </c>
      <c r="H48" s="161" t="s">
        <v>142</v>
      </c>
      <c r="I48" s="161"/>
      <c r="J48" s="161"/>
      <c r="K48" s="128">
        <f>H45-K47</f>
        <v>10.0136</v>
      </c>
      <c r="L48" t="s">
        <v>35</v>
      </c>
    </row>
    <row r="49" spans="1:6" x14ac:dyDescent="0.2">
      <c r="A49" s="33">
        <v>45</v>
      </c>
      <c r="B49" s="31">
        <f t="shared" si="0"/>
        <v>2.74</v>
      </c>
      <c r="C49" s="31">
        <f t="shared" si="1"/>
        <v>3.72</v>
      </c>
      <c r="D49" s="31">
        <f t="shared" si="2"/>
        <v>4.29</v>
      </c>
      <c r="E49" s="31">
        <f t="shared" si="3"/>
        <v>4.7300000000000004</v>
      </c>
      <c r="F49" s="32">
        <f t="shared" si="4"/>
        <v>5.16</v>
      </c>
    </row>
    <row r="50" spans="1:6" x14ac:dyDescent="0.2">
      <c r="A50" s="33">
        <v>46</v>
      </c>
      <c r="B50" s="31">
        <f t="shared" si="0"/>
        <v>2.7</v>
      </c>
      <c r="C50" s="31">
        <f t="shared" si="1"/>
        <v>3.67</v>
      </c>
      <c r="D50" s="31">
        <f t="shared" si="2"/>
        <v>4.2300000000000004</v>
      </c>
      <c r="E50" s="31">
        <f t="shared" si="3"/>
        <v>4.67</v>
      </c>
      <c r="F50" s="32">
        <f t="shared" si="4"/>
        <v>5.0999999999999996</v>
      </c>
    </row>
    <row r="51" spans="1:6" x14ac:dyDescent="0.2">
      <c r="A51" s="33">
        <v>47</v>
      </c>
      <c r="B51" s="31">
        <f t="shared" si="0"/>
        <v>2.66</v>
      </c>
      <c r="C51" s="31">
        <f t="shared" si="1"/>
        <v>3.63</v>
      </c>
      <c r="D51" s="31">
        <f t="shared" si="2"/>
        <v>4.18</v>
      </c>
      <c r="E51" s="31">
        <f t="shared" si="3"/>
        <v>4.62</v>
      </c>
      <c r="F51" s="32">
        <f t="shared" si="4"/>
        <v>5.04</v>
      </c>
    </row>
    <row r="52" spans="1:6" x14ac:dyDescent="0.2">
      <c r="A52" s="33">
        <v>48</v>
      </c>
      <c r="B52" s="31">
        <f t="shared" si="0"/>
        <v>2.62</v>
      </c>
      <c r="C52" s="31">
        <f t="shared" si="1"/>
        <v>3.59</v>
      </c>
      <c r="D52" s="31">
        <f t="shared" si="2"/>
        <v>4.1399999999999997</v>
      </c>
      <c r="E52" s="31">
        <f t="shared" si="3"/>
        <v>4.57</v>
      </c>
      <c r="F52" s="32">
        <f t="shared" si="4"/>
        <v>4.99</v>
      </c>
    </row>
    <row r="53" spans="1:6" x14ac:dyDescent="0.2">
      <c r="A53" s="33">
        <v>49</v>
      </c>
      <c r="B53" s="31">
        <f t="shared" si="0"/>
        <v>2.59</v>
      </c>
      <c r="C53" s="31">
        <f t="shared" si="1"/>
        <v>3.54</v>
      </c>
      <c r="D53" s="31">
        <f t="shared" si="2"/>
        <v>4.09</v>
      </c>
      <c r="E53" s="31">
        <f t="shared" si="3"/>
        <v>4.51</v>
      </c>
      <c r="F53" s="32">
        <f t="shared" si="4"/>
        <v>4.93</v>
      </c>
    </row>
    <row r="54" spans="1:6" x14ac:dyDescent="0.2">
      <c r="A54" s="33">
        <v>50</v>
      </c>
      <c r="B54" s="31">
        <f t="shared" si="0"/>
        <v>2.5499999999999998</v>
      </c>
      <c r="C54" s="31">
        <f t="shared" si="1"/>
        <v>3.5</v>
      </c>
      <c r="D54" s="31">
        <f t="shared" si="2"/>
        <v>4.04</v>
      </c>
      <c r="E54" s="31">
        <f t="shared" si="3"/>
        <v>4.46</v>
      </c>
      <c r="F54" s="32">
        <f t="shared" si="4"/>
        <v>4.88</v>
      </c>
    </row>
    <row r="55" spans="1:6" x14ac:dyDescent="0.2">
      <c r="A55" s="33">
        <v>51</v>
      </c>
      <c r="B55" s="31">
        <f t="shared" si="0"/>
        <v>2.52</v>
      </c>
      <c r="C55" s="31">
        <f t="shared" si="1"/>
        <v>3.46</v>
      </c>
      <c r="D55" s="31">
        <f t="shared" si="2"/>
        <v>4</v>
      </c>
      <c r="E55" s="31">
        <f t="shared" si="3"/>
        <v>4.42</v>
      </c>
      <c r="F55" s="32">
        <f t="shared" si="4"/>
        <v>4.83</v>
      </c>
    </row>
    <row r="56" spans="1:6" x14ac:dyDescent="0.2">
      <c r="A56" s="33">
        <v>52</v>
      </c>
      <c r="B56" s="31">
        <f t="shared" si="0"/>
        <v>2.4900000000000002</v>
      </c>
      <c r="C56" s="31">
        <f t="shared" si="1"/>
        <v>3.42</v>
      </c>
      <c r="D56" s="31">
        <f t="shared" si="2"/>
        <v>3.95</v>
      </c>
      <c r="E56" s="31">
        <f t="shared" si="3"/>
        <v>4.37</v>
      </c>
      <c r="F56" s="32">
        <f t="shared" si="4"/>
        <v>4.78</v>
      </c>
    </row>
    <row r="57" spans="1:6" x14ac:dyDescent="0.2">
      <c r="A57" s="33">
        <v>53</v>
      </c>
      <c r="B57" s="31">
        <f t="shared" si="0"/>
        <v>2.4500000000000002</v>
      </c>
      <c r="C57" s="31">
        <f t="shared" si="1"/>
        <v>3.38</v>
      </c>
      <c r="D57" s="31">
        <f t="shared" si="2"/>
        <v>3.91</v>
      </c>
      <c r="E57" s="31">
        <f t="shared" si="3"/>
        <v>4.32</v>
      </c>
      <c r="F57" s="32">
        <f t="shared" si="4"/>
        <v>4.7300000000000004</v>
      </c>
    </row>
    <row r="58" spans="1:6" x14ac:dyDescent="0.2">
      <c r="A58" s="33">
        <v>54</v>
      </c>
      <c r="B58" s="31">
        <f t="shared" si="0"/>
        <v>2.42</v>
      </c>
      <c r="C58" s="31">
        <f t="shared" si="1"/>
        <v>3.35</v>
      </c>
      <c r="D58" s="31">
        <f t="shared" si="2"/>
        <v>3.87</v>
      </c>
      <c r="E58" s="31">
        <f t="shared" si="3"/>
        <v>4.28</v>
      </c>
      <c r="F58" s="32">
        <f t="shared" si="4"/>
        <v>4.68</v>
      </c>
    </row>
    <row r="59" spans="1:6" x14ac:dyDescent="0.2">
      <c r="A59" s="33">
        <v>55</v>
      </c>
      <c r="B59" s="31">
        <f t="shared" si="0"/>
        <v>2.39</v>
      </c>
      <c r="C59" s="31">
        <f t="shared" si="1"/>
        <v>3.31</v>
      </c>
      <c r="D59" s="31">
        <f t="shared" si="2"/>
        <v>3.83</v>
      </c>
      <c r="E59" s="31">
        <f t="shared" si="3"/>
        <v>4.2300000000000004</v>
      </c>
      <c r="F59" s="32">
        <f t="shared" si="4"/>
        <v>4.63</v>
      </c>
    </row>
    <row r="60" spans="1:6" x14ac:dyDescent="0.2">
      <c r="A60" s="33">
        <v>56</v>
      </c>
      <c r="B60" s="31">
        <f t="shared" si="0"/>
        <v>2.36</v>
      </c>
      <c r="C60" s="31">
        <f t="shared" si="1"/>
        <v>3.27</v>
      </c>
      <c r="D60" s="31">
        <f t="shared" si="2"/>
        <v>3.79</v>
      </c>
      <c r="E60" s="31">
        <f t="shared" si="3"/>
        <v>4.1900000000000004</v>
      </c>
      <c r="F60" s="32">
        <f t="shared" si="4"/>
        <v>4.58</v>
      </c>
    </row>
    <row r="61" spans="1:6" x14ac:dyDescent="0.2">
      <c r="A61" s="33">
        <v>57</v>
      </c>
      <c r="B61" s="31">
        <f t="shared" si="0"/>
        <v>2.33</v>
      </c>
      <c r="C61" s="31">
        <f t="shared" si="1"/>
        <v>3.24</v>
      </c>
      <c r="D61" s="31">
        <f t="shared" si="2"/>
        <v>3.75</v>
      </c>
      <c r="E61" s="31">
        <f t="shared" si="3"/>
        <v>4.1500000000000004</v>
      </c>
      <c r="F61" s="32">
        <f t="shared" si="4"/>
        <v>4.54</v>
      </c>
    </row>
    <row r="62" spans="1:6" x14ac:dyDescent="0.2">
      <c r="A62" s="33">
        <v>58</v>
      </c>
      <c r="B62" s="31">
        <f t="shared" si="0"/>
        <v>2.31</v>
      </c>
      <c r="C62" s="31">
        <f t="shared" si="1"/>
        <v>3.21</v>
      </c>
      <c r="D62" s="31">
        <f t="shared" si="2"/>
        <v>3.71</v>
      </c>
      <c r="E62" s="31">
        <f t="shared" si="3"/>
        <v>4.1100000000000003</v>
      </c>
      <c r="F62" s="32">
        <f t="shared" si="4"/>
        <v>4.49</v>
      </c>
    </row>
    <row r="63" spans="1:6" x14ac:dyDescent="0.2">
      <c r="A63" s="33">
        <v>59</v>
      </c>
      <c r="B63" s="31">
        <f t="shared" si="0"/>
        <v>2.2799999999999998</v>
      </c>
      <c r="C63" s="31">
        <f t="shared" si="1"/>
        <v>3.17</v>
      </c>
      <c r="D63" s="31">
        <f t="shared" si="2"/>
        <v>3.67</v>
      </c>
      <c r="E63" s="31">
        <f t="shared" si="3"/>
        <v>4.07</v>
      </c>
      <c r="F63" s="32">
        <f t="shared" si="4"/>
        <v>4.45</v>
      </c>
    </row>
    <row r="64" spans="1:6" x14ac:dyDescent="0.2">
      <c r="A64" s="40">
        <v>60</v>
      </c>
      <c r="B64" s="41">
        <f t="shared" si="0"/>
        <v>2.25</v>
      </c>
      <c r="C64" s="41">
        <f t="shared" si="1"/>
        <v>3.14</v>
      </c>
      <c r="D64" s="41">
        <f t="shared" si="2"/>
        <v>3.64</v>
      </c>
      <c r="E64" s="41">
        <f t="shared" si="3"/>
        <v>4.03</v>
      </c>
      <c r="F64" s="42">
        <f t="shared" si="4"/>
        <v>4.41</v>
      </c>
    </row>
  </sheetData>
  <mergeCells count="9">
    <mergeCell ref="H48:J48"/>
    <mergeCell ref="H1:L1"/>
    <mergeCell ref="H2:L3"/>
    <mergeCell ref="H4:I4"/>
    <mergeCell ref="A6:F6"/>
    <mergeCell ref="A7:F7"/>
    <mergeCell ref="H26:J26"/>
    <mergeCell ref="H33:J33"/>
    <mergeCell ref="H41:J41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workbookViewId="0">
      <selection activeCell="C5" sqref="C5"/>
    </sheetView>
  </sheetViews>
  <sheetFormatPr defaultRowHeight="12.75" x14ac:dyDescent="0.2"/>
  <sheetData>
    <row r="1" spans="1:3" x14ac:dyDescent="0.2">
      <c r="A1" s="167" t="s">
        <v>149</v>
      </c>
      <c r="B1" s="167"/>
      <c r="C1" s="167"/>
    </row>
    <row r="2" spans="1:3" x14ac:dyDescent="0.2">
      <c r="A2" t="s">
        <v>143</v>
      </c>
      <c r="B2" t="s">
        <v>147</v>
      </c>
      <c r="C2" t="s">
        <v>148</v>
      </c>
    </row>
    <row r="3" spans="1:3" x14ac:dyDescent="0.2">
      <c r="A3">
        <v>0</v>
      </c>
      <c r="B3">
        <v>0</v>
      </c>
      <c r="C3">
        <v>0</v>
      </c>
    </row>
    <row r="4" spans="1:3" x14ac:dyDescent="0.2">
      <c r="A4">
        <v>1</v>
      </c>
      <c r="B4">
        <f>10.53*60*60</f>
        <v>37908</v>
      </c>
      <c r="C4">
        <f>3.5*60*60</f>
        <v>12600</v>
      </c>
    </row>
    <row r="5" spans="1:3" x14ac:dyDescent="0.2">
      <c r="A5">
        <v>2</v>
      </c>
    </row>
    <row r="6" spans="1:3" x14ac:dyDescent="0.2">
      <c r="A6">
        <v>3</v>
      </c>
    </row>
    <row r="7" spans="1:3" x14ac:dyDescent="0.2">
      <c r="A7">
        <v>4</v>
      </c>
    </row>
    <row r="8" spans="1:3" x14ac:dyDescent="0.2">
      <c r="A8">
        <v>5</v>
      </c>
    </row>
    <row r="9" spans="1:3" x14ac:dyDescent="0.2">
      <c r="A9">
        <v>6</v>
      </c>
    </row>
    <row r="10" spans="1:3" x14ac:dyDescent="0.2">
      <c r="A10">
        <v>7</v>
      </c>
    </row>
    <row r="11" spans="1:3" x14ac:dyDescent="0.2">
      <c r="A11">
        <v>8</v>
      </c>
    </row>
    <row r="12" spans="1:3" x14ac:dyDescent="0.2">
      <c r="A12">
        <v>9</v>
      </c>
    </row>
    <row r="13" spans="1:3" x14ac:dyDescent="0.2">
      <c r="A13">
        <v>10</v>
      </c>
    </row>
    <row r="14" spans="1:3" x14ac:dyDescent="0.2">
      <c r="A14">
        <v>11</v>
      </c>
    </row>
    <row r="15" spans="1:3" x14ac:dyDescent="0.2">
      <c r="A15">
        <v>12</v>
      </c>
    </row>
    <row r="16" spans="1:3" x14ac:dyDescent="0.2">
      <c r="A16">
        <v>13</v>
      </c>
    </row>
    <row r="17" spans="1:1" x14ac:dyDescent="0.2">
      <c r="A17">
        <v>14</v>
      </c>
    </row>
    <row r="18" spans="1:1" x14ac:dyDescent="0.2">
      <c r="A18">
        <v>15</v>
      </c>
    </row>
    <row r="19" spans="1:1" x14ac:dyDescent="0.2">
      <c r="A19">
        <v>16</v>
      </c>
    </row>
    <row r="20" spans="1:1" x14ac:dyDescent="0.2">
      <c r="A20">
        <v>17</v>
      </c>
    </row>
    <row r="21" spans="1:1" x14ac:dyDescent="0.2">
      <c r="A21">
        <v>18</v>
      </c>
    </row>
    <row r="22" spans="1:1" x14ac:dyDescent="0.2">
      <c r="A22">
        <v>19</v>
      </c>
    </row>
    <row r="23" spans="1:1" x14ac:dyDescent="0.2">
      <c r="A23">
        <v>20</v>
      </c>
    </row>
    <row r="24" spans="1:1" x14ac:dyDescent="0.2">
      <c r="A24">
        <v>21</v>
      </c>
    </row>
    <row r="25" spans="1:1" x14ac:dyDescent="0.2">
      <c r="A25">
        <v>22</v>
      </c>
    </row>
    <row r="26" spans="1:1" x14ac:dyDescent="0.2">
      <c r="A26">
        <v>23</v>
      </c>
    </row>
    <row r="27" spans="1:1" x14ac:dyDescent="0.2">
      <c r="A27">
        <v>24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10 Year event</vt:lpstr>
      <vt:lpstr>100 Year event</vt:lpstr>
      <vt:lpstr>Intensity calcs</vt:lpstr>
      <vt:lpstr>Detention Pond</vt:lpstr>
      <vt:lpstr>'10 Year event'!Print_Area</vt:lpstr>
      <vt:lpstr>'100 Year event'!Print_Area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2016-03-10T20:16:36Z</cp:lastPrinted>
  <dcterms:created xsi:type="dcterms:W3CDTF">2011-05-17T14:52:40Z</dcterms:created>
  <dcterms:modified xsi:type="dcterms:W3CDTF">2018-10-08T19:48:17Z</dcterms:modified>
</cp:coreProperties>
</file>