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75" windowWidth="13500" windowHeight="8895" tabRatio="797"/>
  </bookViews>
  <sheets>
    <sheet name="25 Year 25% Reduction" sheetId="4" r:id="rId1"/>
    <sheet name="Intensity Calcs" sheetId="2" r:id="rId2"/>
    <sheet name="Sheet3" sheetId="3" r:id="rId3"/>
  </sheets>
  <definedNames>
    <definedName name="_xlnm.Print_Area" localSheetId="0">'25 Year 25% Reduction'!$A$1:$G$59</definedName>
  </definedNames>
  <calcPr calcId="124519"/>
</workbook>
</file>

<file path=xl/calcChain.xml><?xml version="1.0" encoding="utf-8"?>
<calcChain xmlns="http://schemas.openxmlformats.org/spreadsheetml/2006/main">
  <c r="F9" i="4"/>
  <c r="F11"/>
  <c r="F13"/>
  <c r="D15"/>
  <c r="F15"/>
  <c r="B16"/>
  <c r="C22"/>
  <c r="C23"/>
  <c r="C24"/>
  <c r="B27"/>
  <c r="D64" s="1"/>
  <c r="F33"/>
  <c r="F35"/>
  <c r="F37"/>
  <c r="D39"/>
  <c r="B40" s="1"/>
  <c r="F39"/>
  <c r="C47"/>
  <c r="D78"/>
  <c r="D80"/>
  <c r="B86"/>
  <c r="D86"/>
  <c r="F86"/>
  <c r="B87"/>
  <c r="D87"/>
  <c r="F87"/>
  <c r="B88"/>
  <c r="D88"/>
  <c r="F88"/>
  <c r="B89"/>
  <c r="D89"/>
  <c r="F89"/>
  <c r="B90"/>
  <c r="D90"/>
  <c r="F90"/>
  <c r="B91"/>
  <c r="D91"/>
  <c r="F91"/>
  <c r="B92"/>
  <c r="D92"/>
  <c r="F92"/>
  <c r="B93"/>
  <c r="D93"/>
  <c r="F93"/>
  <c r="B94"/>
  <c r="D94"/>
  <c r="F94"/>
  <c r="B95"/>
  <c r="D95"/>
  <c r="F95"/>
  <c r="B96"/>
  <c r="D96"/>
  <c r="F96"/>
  <c r="B97"/>
  <c r="D97"/>
  <c r="F97"/>
  <c r="B98"/>
  <c r="D98"/>
  <c r="F98"/>
  <c r="B99"/>
  <c r="D99"/>
  <c r="F99"/>
  <c r="B100"/>
  <c r="D100"/>
  <c r="F100"/>
  <c r="B101"/>
  <c r="D101"/>
  <c r="F101"/>
  <c r="B102"/>
  <c r="D102"/>
  <c r="F102"/>
  <c r="B103"/>
  <c r="D103"/>
  <c r="F103"/>
  <c r="B104"/>
  <c r="D104"/>
  <c r="F104"/>
  <c r="B105"/>
  <c r="D105"/>
  <c r="F105"/>
  <c r="B106"/>
  <c r="D106"/>
  <c r="F106"/>
  <c r="B107"/>
  <c r="D107"/>
  <c r="F107"/>
  <c r="B108"/>
  <c r="D108"/>
  <c r="F108"/>
  <c r="B109"/>
  <c r="D109"/>
  <c r="F109"/>
  <c r="B110"/>
  <c r="D110"/>
  <c r="F110"/>
  <c r="B111"/>
  <c r="D111"/>
  <c r="F111"/>
  <c r="B112"/>
  <c r="D112"/>
  <c r="F112"/>
  <c r="B113"/>
  <c r="D113"/>
  <c r="F113"/>
  <c r="B114"/>
  <c r="D114"/>
  <c r="F114"/>
  <c r="B115"/>
  <c r="D115"/>
  <c r="F115"/>
  <c r="B116"/>
  <c r="D116"/>
  <c r="F116"/>
  <c r="B117"/>
  <c r="D117"/>
  <c r="F117"/>
  <c r="B118"/>
  <c r="D118"/>
  <c r="F118"/>
  <c r="B119"/>
  <c r="D119"/>
  <c r="F119"/>
  <c r="B120"/>
  <c r="D120"/>
  <c r="F120"/>
  <c r="B121"/>
  <c r="D121"/>
  <c r="F121"/>
  <c r="B122"/>
  <c r="D122"/>
  <c r="F122"/>
  <c r="B123"/>
  <c r="D123"/>
  <c r="F123"/>
  <c r="B124"/>
  <c r="D124"/>
  <c r="F124"/>
  <c r="B125"/>
  <c r="D125"/>
  <c r="F125"/>
  <c r="B126"/>
  <c r="D126"/>
  <c r="F126"/>
  <c r="B127"/>
  <c r="D127"/>
  <c r="F127"/>
  <c r="B128"/>
  <c r="D128"/>
  <c r="F128"/>
  <c r="B129"/>
  <c r="D129"/>
  <c r="F129"/>
  <c r="B130"/>
  <c r="D130"/>
  <c r="F130"/>
  <c r="B131"/>
  <c r="D131"/>
  <c r="F131"/>
  <c r="B132"/>
  <c r="D132"/>
  <c r="F132"/>
  <c r="B133"/>
  <c r="D133"/>
  <c r="F133"/>
  <c r="B134"/>
  <c r="D134"/>
  <c r="F134"/>
  <c r="B135"/>
  <c r="D135"/>
  <c r="F135"/>
  <c r="B136"/>
  <c r="D136"/>
  <c r="F136"/>
  <c r="B137"/>
  <c r="D137"/>
  <c r="F137"/>
  <c r="B138"/>
  <c r="D138"/>
  <c r="F138"/>
  <c r="B139"/>
  <c r="D139"/>
  <c r="F139"/>
  <c r="B140"/>
  <c r="D140"/>
  <c r="F140"/>
  <c r="B141"/>
  <c r="D141"/>
  <c r="F141"/>
  <c r="B142"/>
  <c r="D142"/>
  <c r="F142"/>
  <c r="B143"/>
  <c r="D143"/>
  <c r="F143"/>
  <c r="B144"/>
  <c r="D144"/>
  <c r="F144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C46" i="4" l="1"/>
  <c r="C48" s="1"/>
  <c r="B51"/>
  <c r="D55" s="1"/>
  <c r="D56" s="1"/>
  <c r="E59" s="1"/>
  <c r="D67" s="1"/>
  <c r="D79"/>
  <c r="D68"/>
  <c r="D70" s="1"/>
  <c r="C86" l="1"/>
  <c r="E86" s="1"/>
  <c r="G86" s="1"/>
  <c r="H86" s="1"/>
  <c r="C87"/>
  <c r="E87" s="1"/>
  <c r="G87" s="1"/>
  <c r="H87" s="1"/>
  <c r="C88"/>
  <c r="E88" s="1"/>
  <c r="G88" s="1"/>
  <c r="H88" s="1"/>
  <c r="C89"/>
  <c r="E89" s="1"/>
  <c r="G89" s="1"/>
  <c r="H89" s="1"/>
  <c r="C90"/>
  <c r="E90" s="1"/>
  <c r="G90" s="1"/>
  <c r="H90" s="1"/>
  <c r="C91"/>
  <c r="E91" s="1"/>
  <c r="G91" s="1"/>
  <c r="H91" s="1"/>
  <c r="C92"/>
  <c r="E92" s="1"/>
  <c r="G92" s="1"/>
  <c r="H92" s="1"/>
  <c r="C93"/>
  <c r="E93" s="1"/>
  <c r="G93" s="1"/>
  <c r="H93" s="1"/>
  <c r="C94"/>
  <c r="E94" s="1"/>
  <c r="G94" s="1"/>
  <c r="H94" s="1"/>
  <c r="C95"/>
  <c r="E95" s="1"/>
  <c r="G95" s="1"/>
  <c r="H95" s="1"/>
  <c r="C96"/>
  <c r="E96" s="1"/>
  <c r="G96" s="1"/>
  <c r="H96" s="1"/>
  <c r="C97"/>
  <c r="E97" s="1"/>
  <c r="G97" s="1"/>
  <c r="H97" s="1"/>
  <c r="C98"/>
  <c r="E98" s="1"/>
  <c r="G98" s="1"/>
  <c r="H98" s="1"/>
  <c r="C99"/>
  <c r="E99" s="1"/>
  <c r="G99" s="1"/>
  <c r="H99" s="1"/>
  <c r="C100"/>
  <c r="E100" s="1"/>
  <c r="G100" s="1"/>
  <c r="H100" s="1"/>
  <c r="C101"/>
  <c r="E101" s="1"/>
  <c r="G101" s="1"/>
  <c r="H101" s="1"/>
  <c r="C102"/>
  <c r="E102" s="1"/>
  <c r="G102" s="1"/>
  <c r="H102" s="1"/>
  <c r="C103"/>
  <c r="E103" s="1"/>
  <c r="G103" s="1"/>
  <c r="H103" s="1"/>
  <c r="C104"/>
  <c r="E104" s="1"/>
  <c r="G104" s="1"/>
  <c r="H104" s="1"/>
  <c r="C105"/>
  <c r="E105" s="1"/>
  <c r="G105" s="1"/>
  <c r="H105" s="1"/>
  <c r="C106"/>
  <c r="E106" s="1"/>
  <c r="G106" s="1"/>
  <c r="H106" s="1"/>
  <c r="C107"/>
  <c r="E107" s="1"/>
  <c r="G107" s="1"/>
  <c r="H107" s="1"/>
  <c r="C108"/>
  <c r="E108" s="1"/>
  <c r="G108" s="1"/>
  <c r="H108" s="1"/>
  <c r="C109"/>
  <c r="E109" s="1"/>
  <c r="G109" s="1"/>
  <c r="H109" s="1"/>
  <c r="C110"/>
  <c r="E110" s="1"/>
  <c r="G110" s="1"/>
  <c r="H110" s="1"/>
  <c r="C111"/>
  <c r="E111" s="1"/>
  <c r="G111" s="1"/>
  <c r="H111" s="1"/>
  <c r="C112"/>
  <c r="E112" s="1"/>
  <c r="G112" s="1"/>
  <c r="H112" s="1"/>
  <c r="C113"/>
  <c r="E113" s="1"/>
  <c r="G113" s="1"/>
  <c r="H113" s="1"/>
  <c r="C114"/>
  <c r="E114" s="1"/>
  <c r="G114" s="1"/>
  <c r="H114" s="1"/>
  <c r="C115"/>
  <c r="E115" s="1"/>
  <c r="G115" s="1"/>
  <c r="H115" s="1"/>
  <c r="C116"/>
  <c r="E116" s="1"/>
  <c r="G116" s="1"/>
  <c r="H116" s="1"/>
  <c r="C117"/>
  <c r="E117" s="1"/>
  <c r="G117" s="1"/>
  <c r="H117" s="1"/>
  <c r="C118"/>
  <c r="E118" s="1"/>
  <c r="G118" s="1"/>
  <c r="H118" s="1"/>
  <c r="C119"/>
  <c r="E119" s="1"/>
  <c r="G119" s="1"/>
  <c r="H119" s="1"/>
  <c r="C120"/>
  <c r="E120" s="1"/>
  <c r="G120" s="1"/>
  <c r="H120" s="1"/>
  <c r="C121"/>
  <c r="E121" s="1"/>
  <c r="G121" s="1"/>
  <c r="H121" s="1"/>
  <c r="C122"/>
  <c r="E122" s="1"/>
  <c r="G122" s="1"/>
  <c r="H122" s="1"/>
  <c r="C123"/>
  <c r="E123" s="1"/>
  <c r="G123" s="1"/>
  <c r="H123" s="1"/>
  <c r="C124"/>
  <c r="E124" s="1"/>
  <c r="G124" s="1"/>
  <c r="H124" s="1"/>
  <c r="C125"/>
  <c r="E125" s="1"/>
  <c r="G125" s="1"/>
  <c r="H125" s="1"/>
  <c r="C126"/>
  <c r="E126" s="1"/>
  <c r="G126" s="1"/>
  <c r="H126" s="1"/>
  <c r="C127"/>
  <c r="E127" s="1"/>
  <c r="G127" s="1"/>
  <c r="H127" s="1"/>
  <c r="C128"/>
  <c r="E128" s="1"/>
  <c r="G128" s="1"/>
  <c r="H128" s="1"/>
  <c r="C129"/>
  <c r="E129" s="1"/>
  <c r="G129" s="1"/>
  <c r="H129" s="1"/>
  <c r="C130"/>
  <c r="E130" s="1"/>
  <c r="G130" s="1"/>
  <c r="H130" s="1"/>
  <c r="C131"/>
  <c r="E131" s="1"/>
  <c r="G131" s="1"/>
  <c r="H131" s="1"/>
  <c r="C132"/>
  <c r="E132" s="1"/>
  <c r="G132" s="1"/>
  <c r="H132" s="1"/>
  <c r="C133"/>
  <c r="E133" s="1"/>
  <c r="G133" s="1"/>
  <c r="H133" s="1"/>
  <c r="C134"/>
  <c r="E134" s="1"/>
  <c r="G134" s="1"/>
  <c r="H134" s="1"/>
  <c r="C135"/>
  <c r="E135" s="1"/>
  <c r="G135" s="1"/>
  <c r="H135" s="1"/>
  <c r="C136"/>
  <c r="E136" s="1"/>
  <c r="G136" s="1"/>
  <c r="H136" s="1"/>
  <c r="C137"/>
  <c r="E137" s="1"/>
  <c r="G137" s="1"/>
  <c r="H137" s="1"/>
  <c r="C138"/>
  <c r="E138" s="1"/>
  <c r="G138" s="1"/>
  <c r="H138" s="1"/>
  <c r="C139"/>
  <c r="E139" s="1"/>
  <c r="G139" s="1"/>
  <c r="H139" s="1"/>
  <c r="C140"/>
  <c r="E140" s="1"/>
  <c r="G140" s="1"/>
  <c r="H140" s="1"/>
  <c r="C141"/>
  <c r="E141" s="1"/>
  <c r="G141" s="1"/>
  <c r="H141" s="1"/>
  <c r="C142"/>
  <c r="E142" s="1"/>
  <c r="G142" s="1"/>
  <c r="H142" s="1"/>
  <c r="C143"/>
  <c r="E143" s="1"/>
  <c r="G143" s="1"/>
  <c r="H143" s="1"/>
  <c r="C144"/>
  <c r="E144" s="1"/>
  <c r="G144" s="1"/>
  <c r="H144" s="1"/>
</calcChain>
</file>

<file path=xl/sharedStrings.xml><?xml version="1.0" encoding="utf-8"?>
<sst xmlns="http://schemas.openxmlformats.org/spreadsheetml/2006/main" count="190" uniqueCount="144">
  <si>
    <t>PROJECT:</t>
  </si>
  <si>
    <t>DRAINAGE RUN OFF CALCULATIONS  -- RATIONAL METHOD</t>
  </si>
  <si>
    <t>PRIOR DEVELOPMENT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</si>
  <si>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CIA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</si>
  <si>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</si>
  <si>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</si>
  <si>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</si>
  <si>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</si>
  <si>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</si>
  <si>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</si>
  <si>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</si>
  <si>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</si>
  <si>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</si>
  <si>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</si>
  <si>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</si>
  <si>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</si>
  <si>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TC = .7039(L^.3917)(c^-1.1309)(S^-.1985)</t>
  </si>
  <si>
    <t>where</t>
  </si>
  <si>
    <t xml:space="preserve">L = </t>
  </si>
  <si>
    <t xml:space="preserve"> Runoff length ft</t>
  </si>
  <si>
    <t xml:space="preserve">Elev diff = </t>
  </si>
  <si>
    <t xml:space="preserve"> Runoff coef</t>
  </si>
  <si>
    <t xml:space="preserve">S = </t>
  </si>
  <si>
    <t xml:space="preserve"> Percent Slope</t>
  </si>
  <si>
    <t>therefore</t>
  </si>
  <si>
    <t xml:space="preserve">TC = D = </t>
  </si>
  <si>
    <t xml:space="preserve"> minutes   or</t>
  </si>
  <si>
    <t>and from Rainfall Intensity Table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</si>
  <si>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</si>
  <si>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</si>
  <si>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</si>
  <si>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</si>
  <si>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>POST DEVELOPMENT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</si>
  <si>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CIA</t>
    </r>
  </si>
  <si>
    <t>D = Time of concentration (TC)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</si>
  <si>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</si>
  <si>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RESULTS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</si>
  <si>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</si>
  <si>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</si>
  <si>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</si>
  <si>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</si>
  <si>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DETENTION DIMENSIONS</t>
  </si>
  <si>
    <t>WIDTH</t>
  </si>
  <si>
    <t>feet</t>
  </si>
  <si>
    <t>LENGTH</t>
  </si>
  <si>
    <t>DEPTH</t>
  </si>
  <si>
    <t>DISCHARGE END AREA CALCULATIONS</t>
  </si>
  <si>
    <t>Q = cA(2gH)^1/2</t>
  </si>
  <si>
    <t>where  Q is allowable run off</t>
  </si>
  <si>
    <t>Allowable run off</t>
  </si>
  <si>
    <t xml:space="preserve">Q = </t>
  </si>
  <si>
    <t>Friction loss factor</t>
  </si>
  <si>
    <t xml:space="preserve"> coefficient</t>
  </si>
  <si>
    <t>Acceleration</t>
  </si>
  <si>
    <t xml:space="preserve">g = </t>
  </si>
  <si>
    <t xml:space="preserve"> ft/ft/sec</t>
  </si>
  <si>
    <t>Height above invert</t>
  </si>
  <si>
    <t xml:space="preserve">if H = </t>
  </si>
  <si>
    <t xml:space="preserve"> feet</t>
  </si>
  <si>
    <t>End area</t>
  </si>
  <si>
    <t xml:space="preserve">A = </t>
  </si>
  <si>
    <t xml:space="preserve"> sqft</t>
  </si>
  <si>
    <t>inch diameter</t>
  </si>
  <si>
    <t>ENTERED DATA =</t>
  </si>
  <si>
    <t>Method of Computing Runoff-Rational Method</t>
  </si>
  <si>
    <t>COMPUTED DATA=</t>
  </si>
  <si>
    <t>Q=CIA</t>
  </si>
  <si>
    <t>Q=</t>
  </si>
  <si>
    <t>peak runoff rate, CFS</t>
  </si>
  <si>
    <t>DATA FROM TABLES=</t>
  </si>
  <si>
    <t>C=</t>
  </si>
  <si>
    <t>runoff coefficient</t>
  </si>
  <si>
    <t>I=</t>
  </si>
  <si>
    <t>average rainfall intensity, in./hr.,at time of concentration</t>
  </si>
  <si>
    <t>The runoff coefficient C</t>
  </si>
  <si>
    <t>A=</t>
  </si>
  <si>
    <t>drainage area, acres</t>
  </si>
  <si>
    <t>Business:</t>
  </si>
  <si>
    <t>downtown areas</t>
  </si>
  <si>
    <t>0.70 to 0.95</t>
  </si>
  <si>
    <t>neighborhood areas</t>
  </si>
  <si>
    <t>0.50 to 0.70</t>
  </si>
  <si>
    <t>Residential: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</si>
  <si>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</si>
  <si>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</si>
  <si>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</si>
  <si>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</si>
  <si>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</si>
  <si>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</si>
  <si>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</si>
  <si>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</si>
  <si>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</si>
  <si>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</si>
  <si>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</si>
  <si>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</si>
  <si>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</si>
  <si>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</si>
  <si>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</si>
  <si>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</si>
  <si>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</si>
  <si>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</si>
  <si>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</si>
  <si>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</si>
  <si>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</si>
  <si>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Table 1</t>
  </si>
  <si>
    <t>Rainfall Intensity (I)</t>
  </si>
  <si>
    <t>Rainfall-Intensity-Duration-Frequency for Louisiana</t>
  </si>
  <si>
    <t>Duration (t) minutes</t>
  </si>
  <si>
    <t>10 year</t>
  </si>
  <si>
    <t>25 year</t>
  </si>
  <si>
    <t>The fraction of rainfall which may be expected t become runoff</t>
  </si>
  <si>
    <t>2 year</t>
  </si>
  <si>
    <t>50 year</t>
  </si>
  <si>
    <t>100 year</t>
  </si>
  <si>
    <t xml:space="preserve">25 Year Frequency </t>
  </si>
  <si>
    <t>Modified Rational Method for Detention Storage Calculations</t>
  </si>
  <si>
    <t>Design Frequency</t>
  </si>
  <si>
    <t>Design Discharge, Q</t>
  </si>
  <si>
    <r>
      <t>Outflow Volume (ft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</si>
  <si>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{1}</t>
  </si>
  <si>
    <t>{2}</t>
  </si>
  <si>
    <r>
      <t>Outflow factor, K</t>
    </r>
    <r>
      <rPr>
        <vertAlign val="subscript"/>
        <sz val="10"/>
        <rFont val="Arial"/>
        <family val="2"/>
      </rPr>
      <t>o</t>
    </r>
  </si>
  <si>
    <r>
      <t>Storage Volume (ft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</si>
  <si>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{5}= {3}-{4}</t>
  </si>
  <si>
    <t>Cubic foot per second</t>
  </si>
  <si>
    <t>Rainfall Intensity (inches/hour)</t>
  </si>
  <si>
    <t>Storm Duration (minutes)</t>
  </si>
  <si>
    <t>Depth of Detention Pond</t>
  </si>
  <si>
    <r>
      <t>Post Run-off Volume  (ft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</si>
  <si>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r>
      <t>Allowed Run-Off (ft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</si>
  <si>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r>
      <t>{6} = K</t>
    </r>
    <r>
      <rPr>
        <vertAlign val="subscript"/>
        <sz val="10"/>
        <rFont val="Arial"/>
        <family val="2"/>
      </rPr>
      <t>o</t>
    </r>
    <r>
      <rPr>
        <sz val="10"/>
        <rFont val="Arial"/>
      </rPr>
      <t>*60*{1}*Q</t>
    </r>
  </si>
  <si>
    <t>Post Run Off Coeffecient  C</t>
  </si>
  <si>
    <t>Pre Run Off Coeffecient C</t>
  </si>
  <si>
    <t>Property Size   Acres</t>
  </si>
  <si>
    <t>{8}= {7} / Length * Width</t>
  </si>
  <si>
    <t>25 Years 25% Reduction of Pre Development Run Off</t>
  </si>
  <si>
    <t>Property Sq Ft</t>
  </si>
  <si>
    <t>{3} = 60*{1}*{2}/12*Sq Ft*C(Post)</t>
  </si>
  <si>
    <r>
      <t>Pre Run-Off Volume minus 25% reduction (ft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</si>
  <si>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t>{4} = 60*{1}*{2}/12*Sq Ft*C(Pre)*.75</t>
  </si>
  <si>
    <t xml:space="preserve">MINIMUM REQUIRED PIPE = </t>
  </si>
  <si>
    <t>{7}= {5}-{6}</t>
  </si>
  <si>
    <t>Senior Design</t>
  </si>
  <si>
    <r>
      <t>ft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</si>
</sst>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0"/>
  </numFmts>
  <fonts count="11">
    <font>
      <sz val="10"/>
      <name val="Arial"/>
    </font>
    <font>
      <b/>
      <sz val="10"/>
      <name val="Arial"/>
      <family val="2"/>
    </font>
    <font>
      <b/>
      <sz val="14"/>
      <name val="Antique Oakland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0" fillId="0" borderId="2" xfId="0" applyFill="1" applyBorder="1"/>
    <xf numFmtId="0" fontId="1" fillId="0" borderId="3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4" xfId="0" applyFill="1" applyBorder="1"/>
    <xf numFmtId="0" fontId="0" fillId="0" borderId="3" xfId="0" applyFill="1" applyBorder="1"/>
    <xf numFmtId="0" fontId="0" fillId="0" borderId="3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2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</xf>
    <xf numFmtId="164" fontId="0" fillId="3" borderId="0" xfId="0" applyNumberFormat="1" applyFill="1" applyBorder="1" applyProtection="1"/>
    <xf numFmtId="0" fontId="0" fillId="0" borderId="4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right"/>
    </xf>
    <xf numFmtId="0" fontId="0" fillId="4" borderId="6" xfId="0" applyFill="1" applyBorder="1" applyProtection="1">
      <protection locked="0"/>
    </xf>
    <xf numFmtId="0" fontId="0" fillId="0" borderId="6" xfId="0" applyFill="1" applyBorder="1"/>
    <xf numFmtId="0" fontId="0" fillId="0" borderId="7" xfId="0" applyFill="1" applyBorder="1"/>
    <xf numFmtId="0" fontId="0" fillId="3" borderId="0" xfId="0" applyFill="1" applyBorder="1" applyProtection="1"/>
    <xf numFmtId="0" fontId="0" fillId="0" borderId="3" xfId="0" applyFill="1" applyBorder="1" applyAlignment="1" applyProtection="1">
      <alignment horizontal="right"/>
    </xf>
    <xf numFmtId="165" fontId="0" fillId="3" borderId="0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65" fontId="0" fillId="3" borderId="0" xfId="0" applyNumberFormat="1" applyFill="1" applyBorder="1" applyAlignment="1" applyProtection="1">
      <alignment horizontal="left"/>
    </xf>
    <xf numFmtId="166" fontId="0" fillId="3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165" fontId="0" fillId="4" borderId="0" xfId="0" applyNumberForma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right"/>
    </xf>
    <xf numFmtId="164" fontId="4" fillId="3" borderId="9" xfId="0" applyNumberFormat="1" applyFont="1" applyFill="1" applyBorder="1" applyProtection="1"/>
    <xf numFmtId="0" fontId="4" fillId="0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164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0" fillId="0" borderId="6" xfId="0" applyFill="1" applyBorder="1" applyProtection="1"/>
    <xf numFmtId="2" fontId="0" fillId="4" borderId="0" xfId="0" applyNumberFormat="1" applyFill="1" applyBorder="1" applyAlignment="1" applyProtection="1">
      <alignment horizontal="left"/>
      <protection locked="0"/>
    </xf>
    <xf numFmtId="164" fontId="4" fillId="0" borderId="9" xfId="0" applyNumberFormat="1" applyFont="1" applyFill="1" applyBorder="1" applyProtection="1"/>
    <xf numFmtId="0" fontId="0" fillId="0" borderId="11" xfId="0" applyFill="1" applyBorder="1"/>
    <xf numFmtId="0" fontId="0" fillId="0" borderId="12" xfId="0" applyFill="1" applyBorder="1"/>
    <xf numFmtId="0" fontId="1" fillId="0" borderId="3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7" fontId="0" fillId="3" borderId="0" xfId="0" applyNumberFormat="1" applyFill="1" applyBorder="1" applyProtection="1"/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Alignment="1" applyProtection="1">
      <alignment horizontal="left"/>
    </xf>
    <xf numFmtId="165" fontId="4" fillId="3" borderId="14" xfId="0" applyNumberFormat="1" applyFont="1" applyFill="1" applyBorder="1" applyProtection="1"/>
    <xf numFmtId="0" fontId="4" fillId="0" borderId="14" xfId="0" applyFont="1" applyFill="1" applyBorder="1" applyAlignment="1" applyProtection="1">
      <alignment horizontal="left"/>
    </xf>
    <xf numFmtId="0" fontId="0" fillId="0" borderId="15" xfId="0" applyFill="1" applyBorder="1"/>
    <xf numFmtId="165" fontId="0" fillId="2" borderId="0" xfId="0" applyNumberFormat="1" applyFill="1" applyBorder="1" applyProtection="1">
      <protection locked="0"/>
    </xf>
    <xf numFmtId="0" fontId="4" fillId="0" borderId="3" xfId="0" applyFont="1" applyFill="1" applyBorder="1" applyAlignment="1" applyProtection="1">
      <alignment horizontal="left"/>
    </xf>
    <xf numFmtId="165" fontId="4" fillId="3" borderId="16" xfId="0" applyNumberFormat="1" applyFont="1" applyFill="1" applyBorder="1" applyProtection="1"/>
    <xf numFmtId="4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/>
    <xf numFmtId="0" fontId="0" fillId="0" borderId="8" xfId="0" applyFill="1" applyBorder="1"/>
    <xf numFmtId="0" fontId="0" fillId="2" borderId="17" xfId="0" applyFill="1" applyBorder="1"/>
    <xf numFmtId="0" fontId="0" fillId="3" borderId="18" xfId="0" applyFill="1" applyBorder="1"/>
    <xf numFmtId="0" fontId="1" fillId="0" borderId="19" xfId="0" applyFont="1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0" fillId="4" borderId="21" xfId="0" applyFill="1" applyBorder="1"/>
    <xf numFmtId="0" fontId="0" fillId="0" borderId="19" xfId="0" applyFill="1" applyBorder="1"/>
    <xf numFmtId="0" fontId="0" fillId="0" borderId="22" xfId="0" applyFill="1" applyBorder="1"/>
    <xf numFmtId="0" fontId="0" fillId="0" borderId="23" xfId="0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9" xfId="0" applyFont="1" applyFill="1" applyBorder="1"/>
    <xf numFmtId="0" fontId="8" fillId="0" borderId="19" xfId="0" applyFont="1" applyFill="1" applyBorder="1"/>
    <xf numFmtId="0" fontId="7" fillId="0" borderId="21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0" fillId="0" borderId="11" xfId="0" applyBorder="1"/>
    <xf numFmtId="0" fontId="7" fillId="0" borderId="25" xfId="0" applyFont="1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8" fillId="0" borderId="30" xfId="0" applyFont="1" applyFill="1" applyBorder="1"/>
    <xf numFmtId="0" fontId="7" fillId="0" borderId="30" xfId="0" applyFont="1" applyFill="1" applyBorder="1"/>
    <xf numFmtId="0" fontId="0" fillId="0" borderId="31" xfId="0" applyBorder="1"/>
    <xf numFmtId="0" fontId="7" fillId="0" borderId="32" xfId="0" applyFont="1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" xfId="0" applyBorder="1" applyAlignment="1"/>
    <xf numFmtId="0" fontId="0" fillId="0" borderId="0" xfId="0" applyBorder="1" applyAlignment="1"/>
    <xf numFmtId="0" fontId="0" fillId="0" borderId="11" xfId="0" applyBorder="1" applyAlignment="1"/>
    <xf numFmtId="0" fontId="0" fillId="0" borderId="0" xfId="0" applyBorder="1"/>
    <xf numFmtId="0" fontId="7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2" fontId="7" fillId="0" borderId="37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7" fillId="0" borderId="35" xfId="0" applyFont="1" applyFill="1" applyBorder="1" applyAlignment="1">
      <alignment horizontal="center"/>
    </xf>
    <xf numFmtId="0" fontId="9" fillId="0" borderId="0" xfId="0" applyFont="1" applyFill="1" applyBorder="1"/>
    <xf numFmtId="0" fontId="7" fillId="0" borderId="38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 wrapText="1"/>
    </xf>
    <xf numFmtId="2" fontId="9" fillId="0" borderId="37" xfId="0" applyNumberFormat="1" applyFont="1" applyFill="1" applyBorder="1" applyAlignment="1">
      <alignment horizontal="center"/>
    </xf>
    <xf numFmtId="0" fontId="9" fillId="0" borderId="0" xfId="0" applyFont="1"/>
    <xf numFmtId="2" fontId="0" fillId="0" borderId="6" xfId="0" applyNumberFormat="1" applyFill="1" applyBorder="1" applyProtection="1"/>
    <xf numFmtId="0" fontId="7" fillId="0" borderId="40" xfId="0" applyFont="1" applyFill="1" applyBorder="1" applyAlignment="1">
      <alignment horizontal="center"/>
    </xf>
    <xf numFmtId="2" fontId="7" fillId="0" borderId="41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 wrapText="1" shrinkToFit="1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9" fillId="0" borderId="20" xfId="0" applyFont="1" applyBorder="1"/>
    <xf numFmtId="2" fontId="9" fillId="0" borderId="20" xfId="0" applyNumberFormat="1" applyFont="1" applyFill="1" applyBorder="1" applyAlignment="1">
      <alignment horizontal="center"/>
    </xf>
    <xf numFmtId="0" fontId="0" fillId="0" borderId="20" xfId="0" applyBorder="1"/>
    <xf numFmtId="164" fontId="0" fillId="5" borderId="20" xfId="0" applyNumberFormat="1" applyFill="1" applyBorder="1"/>
    <xf numFmtId="165" fontId="0" fillId="5" borderId="20" xfId="0" applyNumberFormat="1" applyFill="1" applyBorder="1"/>
    <xf numFmtId="0" fontId="0" fillId="0" borderId="20" xfId="0" applyFill="1" applyBorder="1" applyAlignment="1" applyProtection="1">
      <alignment horizontal="left"/>
    </xf>
    <xf numFmtId="0" fontId="0" fillId="2" borderId="20" xfId="0" applyFill="1" applyBorder="1" applyProtection="1">
      <protection locked="0"/>
    </xf>
    <xf numFmtId="0" fontId="9" fillId="0" borderId="37" xfId="0" applyFont="1" applyFill="1" applyBorder="1"/>
    <xf numFmtId="0" fontId="0" fillId="0" borderId="19" xfId="0" applyBorder="1"/>
    <xf numFmtId="0" fontId="0" fillId="0" borderId="18" xfId="0" applyBorder="1"/>
    <xf numFmtId="0" fontId="0" fillId="0" borderId="18" xfId="0" applyFill="1" applyBorder="1" applyAlignment="1" applyProtection="1">
      <alignment horizontal="left"/>
    </xf>
    <xf numFmtId="0" fontId="0" fillId="0" borderId="19" xfId="0" applyBorder="1" applyAlignment="1">
      <alignment horizontal="right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9" fillId="0" borderId="19" xfId="0" applyFont="1" applyBorder="1"/>
    <xf numFmtId="0" fontId="9" fillId="0" borderId="22" xfId="0" applyFont="1" applyBorder="1"/>
    <xf numFmtId="2" fontId="9" fillId="0" borderId="23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37" xfId="0" applyBorder="1"/>
    <xf numFmtId="0" fontId="0" fillId="0" borderId="25" xfId="0" applyBorder="1"/>
    <xf numFmtId="2" fontId="0" fillId="0" borderId="20" xfId="0" applyNumberFormat="1" applyBorder="1"/>
    <xf numFmtId="2" fontId="0" fillId="0" borderId="23" xfId="0" applyNumberFormat="1" applyBorder="1"/>
    <xf numFmtId="2" fontId="0" fillId="0" borderId="37" xfId="0" applyNumberFormat="1" applyFill="1" applyBorder="1"/>
    <xf numFmtId="2" fontId="0" fillId="0" borderId="0" xfId="0" applyNumberFormat="1" applyFill="1"/>
    <xf numFmtId="2" fontId="0" fillId="0" borderId="0" xfId="0" applyNumberFormat="1"/>
    <xf numFmtId="168" fontId="0" fillId="0" borderId="18" xfId="0" applyNumberFormat="1" applyBorder="1"/>
    <xf numFmtId="168" fontId="0" fillId="0" borderId="21" xfId="0" applyNumberFormat="1" applyBorder="1"/>
    <xf numFmtId="168" fontId="0" fillId="0" borderId="37" xfId="0" applyNumberFormat="1" applyFill="1" applyBorder="1"/>
    <xf numFmtId="168" fontId="0" fillId="0" borderId="20" xfId="0" applyNumberFormat="1" applyBorder="1"/>
    <xf numFmtId="168" fontId="0" fillId="0" borderId="0" xfId="0" applyNumberFormat="1"/>
    <xf numFmtId="0" fontId="9" fillId="0" borderId="19" xfId="0" applyFont="1" applyFill="1" applyBorder="1"/>
    <xf numFmtId="168" fontId="0" fillId="0" borderId="18" xfId="0" applyNumberFormat="1" applyFill="1" applyBorder="1"/>
    <xf numFmtId="2" fontId="0" fillId="0" borderId="20" xfId="0" applyNumberFormat="1" applyFill="1" applyBorder="1"/>
    <xf numFmtId="0" fontId="8" fillId="0" borderId="0" xfId="0" applyFont="1" applyFill="1" applyBorder="1" applyAlignment="1">
      <alignment horizontal="center"/>
    </xf>
    <xf numFmtId="0" fontId="0" fillId="0" borderId="2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" fillId="0" borderId="42" xfId="0" applyFont="1" applyFill="1" applyBorder="1" applyAlignment="1" applyProtection="1">
      <alignment horizontal="center"/>
    </xf>
    <xf numFmtId="0" fontId="1" fillId="0" borderId="43" xfId="0" applyFont="1" applyFill="1" applyBorder="1" applyAlignment="1" applyProtection="1">
      <alignment horizontal="center"/>
    </xf>
    <xf numFmtId="0" fontId="1" fillId="0" borderId="44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45" xfId="0" applyFont="1" applyFill="1" applyBorder="1" applyAlignment="1" applyProtection="1">
      <alignment horizontal="center"/>
    </xf>
    <xf numFmtId="0" fontId="2" fillId="0" borderId="4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left"/>
    </xf>
    <xf numFmtId="0" fontId="0" fillId="0" borderId="31" xfId="0" applyFill="1" applyBorder="1" applyAlignment="1" applyProtection="1">
      <alignment horizontal="left"/>
    </xf>
    <xf numFmtId="0" fontId="0" fillId="0" borderId="47" xfId="0" applyFill="1" applyBorder="1" applyAlignment="1" applyProtection="1">
      <alignment horizontal="left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0" fontId="0" fillId="2" borderId="28" xfId="0" applyFill="1" applyBorder="1" applyAlignment="1"/>
    <xf numFmtId="0" fontId="0" fillId="2" borderId="31" xfId="0" applyFill="1" applyBorder="1" applyAlignment="1"/>
    <xf numFmtId="0" fontId="0" fillId="2" borderId="47" xfId="0" applyFill="1" applyBorder="1" applyAlignment="1"/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0" fillId="0" borderId="20" xfId="0" applyBorder="1" applyAlignment="1">
      <alignment wrapText="1"/>
    </xf>
    <xf numFmtId="0" fontId="0" fillId="0" borderId="20" xfId="0" applyBorder="1" applyAlignment="1"/>
    <xf numFmtId="0" fontId="1" fillId="0" borderId="1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20" xfId="0" applyFill="1" applyBorder="1"/>
    <xf numFmtId="0" fontId="0" fillId="0" borderId="18" xfId="0" applyFill="1" applyBorder="1"/>
    <xf numFmtId="0" fontId="6" fillId="0" borderId="20" xfId="0" applyFont="1" applyFill="1" applyBorder="1"/>
    <xf numFmtId="0" fontId="6" fillId="0" borderId="18" xfId="0" applyFont="1" applyFill="1" applyBorder="1"/>
    <xf numFmtId="0" fontId="8" fillId="0" borderId="3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5" xfId="0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 applyProtection="1">
      <alignment horizontal="left"/>
    </xf>
    <xf numFmtId="0" fontId="8" fillId="0" borderId="26" xfId="0" applyFont="1" applyFill="1" applyBorder="1" applyAlignment="1" applyProtection="1">
      <alignment horizontal="left"/>
    </xf>
    <xf numFmtId="0" fontId="0" fillId="0" borderId="23" xfId="0" applyFill="1" applyBorder="1"/>
    <xf numFmtId="0" fontId="0" fillId="0" borderId="21" xfId="0" applyFill="1" applyBorder="1"/>
    <xf numFmtId="0" fontId="8" fillId="0" borderId="45" xfId="0" applyFont="1" applyFill="1" applyBorder="1" applyAlignment="1">
      <alignment horizontal="center"/>
    </xf>
    <xf numFmtId="0" fontId="0" fillId="0" borderId="8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471204188481675"/>
          <c:y val="9.8859315589353611E-2"/>
          <c:w val="0.76570680628272247"/>
          <c:h val="0.73003802281368824"/>
        </c:manualLayout>
      </c:layout>
      <c:lineChart>
        <c:grouping val="standard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'25 Year 25% Reduction'!$G$86:$G$99</c:f>
              <c:numCache>
                <c:formatCode>0.00</c:formatCode>
                <c:ptCount val="14"/>
                <c:pt idx="0">
                  <c:v>30984.88119052368</c:v>
                </c:pt>
                <c:pt idx="1">
                  <c:v>53302.141320684212</c:v>
                </c:pt>
                <c:pt idx="2">
                  <c:v>70270.771784012046</c:v>
                </c:pt>
                <c:pt idx="3">
                  <c:v>83669.942394341488</c:v>
                </c:pt>
                <c:pt idx="4">
                  <c:v>94547.715840594232</c:v>
                </c:pt>
                <c:pt idx="5">
                  <c:v>103565.88976069962</c:v>
                </c:pt>
                <c:pt idx="6">
                  <c:v>111165.28083903779</c:v>
                </c:pt>
                <c:pt idx="7">
                  <c:v>117652.2273584588</c:v>
                </c:pt>
                <c:pt idx="8">
                  <c:v>123247.08404061093</c:v>
                </c:pt>
                <c:pt idx="9">
                  <c:v>128112.9574467272</c:v>
                </c:pt>
                <c:pt idx="10">
                  <c:v>132373.52794275645</c:v>
                </c:pt>
                <c:pt idx="11">
                  <c:v>136124.53434045965</c:v>
                </c:pt>
                <c:pt idx="12">
                  <c:v>139441.41987827606</c:v>
                </c:pt>
                <c:pt idx="13">
                  <c:v>142384.56763830371</c:v>
                </c:pt>
              </c:numCache>
            </c:numRef>
          </c:val>
        </c:ser>
        <c:marker val="1"/>
        <c:axId val="51849088"/>
        <c:axId val="51850624"/>
      </c:lineChart>
      <c:catAx>
        <c:axId val="51849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50624"/>
        <c:crosses val="autoZero"/>
        <c:auto val="1"/>
        <c:lblAlgn val="ctr"/>
        <c:lblOffset val="100"/>
        <c:tickLblSkip val="1"/>
        <c:tickMarkSkip val="1"/>
      </c:catAx>
      <c:valAx>
        <c:axId val="51850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49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481675392670156"/>
          <c:y val="0.4220532319391635"/>
          <c:w val="0.10471204188481675"/>
          <c:h val="8.36501901140684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85</xdr:row>
      <xdr:rowOff>28575</xdr:rowOff>
    </xdr:from>
    <xdr:to>
      <xdr:col>9</xdr:col>
      <xdr:colOff>0</xdr:colOff>
      <xdr:row>100</xdr:row>
      <xdr:rowOff>104775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4"/>
  <sheetViews>
    <sheetView tabSelected="1" workbookViewId="0">
      <selection sqref="A1:G59"/>
    </sheetView>
  </sheetViews>
  <sheetFormatPr defaultRowHeight="12.75"/>
  <cols>
    <col min="1" max="1" width="23.85546875" customWidth="1"/>
    <col min="2" max="2" width="14.42578125" customWidth="1"/>
    <col min="3" max="3" width="14" customWidth="1"/>
    <col min="4" max="4" width="14.28515625" customWidth="1"/>
    <col min="5" max="5" width="13.85546875" customWidth="1"/>
    <col min="6" max="6" width="9.5703125" bestFit="1" customWidth="1"/>
    <col min="7" max="7" width="13.42578125" customWidth="1"/>
    <col min="8" max="8" width="12.85546875" customWidth="1"/>
    <col min="9" max="9" width="14.42578125" customWidth="1"/>
  </cols>
  <sheetData>
    <row r="1" spans="1:9" ht="18">
      <c r="A1" s="1" t="s">
        <v>0</v>
      </c>
      <c r="B1" s="171" t="s">
        <v>142</v>
      </c>
      <c r="C1" s="171"/>
      <c r="D1" s="171"/>
      <c r="E1" s="171"/>
      <c r="F1" s="171"/>
      <c r="G1" s="172"/>
      <c r="H1" s="103"/>
      <c r="I1" s="88"/>
    </row>
    <row r="2" spans="1:9">
      <c r="A2" s="173"/>
      <c r="B2" s="174"/>
      <c r="C2" s="174"/>
      <c r="D2" s="174"/>
      <c r="E2" s="174"/>
      <c r="F2" s="174"/>
      <c r="G2" s="175"/>
      <c r="H2" s="20"/>
      <c r="I2" s="86"/>
    </row>
    <row r="3" spans="1:9" ht="13.5" thickBot="1">
      <c r="A3" s="176" t="s">
        <v>1</v>
      </c>
      <c r="B3" s="177"/>
      <c r="C3" s="177"/>
      <c r="D3" s="177"/>
      <c r="E3" s="177"/>
      <c r="F3" s="177"/>
      <c r="G3" s="178"/>
      <c r="H3" s="104"/>
      <c r="I3" s="86"/>
    </row>
    <row r="4" spans="1:9" ht="13.5" thickBot="1">
      <c r="A4" s="2"/>
      <c r="B4" s="2"/>
      <c r="C4" s="2"/>
      <c r="D4" s="2"/>
      <c r="E4" s="2"/>
      <c r="F4" s="2"/>
      <c r="G4" s="2"/>
      <c r="H4" s="4"/>
      <c r="I4" s="86"/>
    </row>
    <row r="5" spans="1:9">
      <c r="A5" s="168" t="s">
        <v>2</v>
      </c>
      <c r="B5" s="169"/>
      <c r="C5" s="169"/>
      <c r="D5" s="169"/>
      <c r="E5" s="169"/>
      <c r="F5" s="169"/>
      <c r="G5" s="170"/>
      <c r="H5" s="39"/>
      <c r="I5" s="88"/>
    </row>
    <row r="6" spans="1:9" ht="14.25" customHeight="1" thickBot="1">
      <c r="A6" s="158" t="s">
        <v>114</v>
      </c>
      <c r="B6" s="159"/>
      <c r="C6" s="159"/>
      <c r="D6" s="159"/>
      <c r="E6" s="159"/>
      <c r="F6" s="159"/>
      <c r="G6" s="160"/>
      <c r="H6" s="105"/>
      <c r="I6" s="149"/>
    </row>
    <row r="7" spans="1:9" ht="15" thickTop="1">
      <c r="A7" s="3" t="s">
        <v>3</v>
      </c>
      <c r="B7" s="4"/>
      <c r="C7" s="4"/>
      <c r="D7" s="4"/>
      <c r="E7" s="4"/>
      <c r="F7" s="4"/>
      <c r="G7" s="5"/>
      <c r="H7" s="4"/>
      <c r="I7" s="89"/>
    </row>
    <row r="8" spans="1:9">
      <c r="A8" s="6"/>
      <c r="B8" s="4"/>
      <c r="C8" s="4"/>
      <c r="D8" s="4"/>
      <c r="E8" s="4"/>
      <c r="F8" s="4"/>
      <c r="G8" s="5"/>
      <c r="H8" s="4"/>
      <c r="I8" s="89"/>
    </row>
    <row r="9" spans="1:9">
      <c r="A9" s="7" t="s">
        <v>4</v>
      </c>
      <c r="B9" s="4"/>
      <c r="C9" s="10" t="s">
        <v>5</v>
      </c>
      <c r="D9" s="9"/>
      <c r="F9" s="11">
        <f>D9/43560</f>
        <v>0</v>
      </c>
      <c r="G9" s="12" t="s">
        <v>6</v>
      </c>
      <c r="H9" s="20"/>
      <c r="I9" s="89"/>
    </row>
    <row r="10" spans="1:9">
      <c r="A10" s="13" t="s">
        <v>7</v>
      </c>
      <c r="B10" s="14">
        <v>0.9</v>
      </c>
      <c r="C10" s="15"/>
      <c r="D10" s="15"/>
      <c r="E10" s="15"/>
      <c r="F10" s="15"/>
      <c r="G10" s="16"/>
      <c r="H10" s="4"/>
      <c r="I10" s="89"/>
    </row>
    <row r="11" spans="1:9" ht="29.25" customHeight="1">
      <c r="A11" s="7" t="s">
        <v>8</v>
      </c>
      <c r="B11" s="4"/>
      <c r="C11" s="10" t="s">
        <v>5</v>
      </c>
      <c r="D11" s="9"/>
      <c r="F11" s="11">
        <f>D11/43560</f>
        <v>0</v>
      </c>
      <c r="G11" s="12" t="s">
        <v>6</v>
      </c>
      <c r="H11" s="20"/>
      <c r="I11" s="89"/>
    </row>
    <row r="12" spans="1:9" ht="36" customHeight="1">
      <c r="A12" s="13" t="s">
        <v>9</v>
      </c>
      <c r="B12" s="14">
        <v>0.14000000000000001</v>
      </c>
      <c r="C12" s="15"/>
      <c r="D12" s="15"/>
      <c r="E12" s="15"/>
      <c r="F12" s="15"/>
      <c r="G12" s="16"/>
      <c r="H12" s="4"/>
      <c r="I12" s="89"/>
    </row>
    <row r="13" spans="1:9">
      <c r="A13" s="7" t="s">
        <v>10</v>
      </c>
      <c r="B13" s="4"/>
      <c r="C13" s="10" t="s">
        <v>11</v>
      </c>
      <c r="D13" s="9">
        <v>1516656</v>
      </c>
      <c r="E13" s="10"/>
      <c r="F13" s="11">
        <f>D13/43560</f>
        <v>34.817630853994487</v>
      </c>
      <c r="G13" s="12" t="s">
        <v>6</v>
      </c>
      <c r="H13" s="20"/>
      <c r="I13" s="89"/>
    </row>
    <row r="14" spans="1:9" ht="12.75" customHeight="1">
      <c r="A14" s="13" t="s">
        <v>12</v>
      </c>
      <c r="B14" s="14">
        <v>0.2</v>
      </c>
      <c r="C14" s="15"/>
      <c r="D14" s="15"/>
      <c r="E14" s="15"/>
      <c r="F14" s="15"/>
      <c r="G14" s="16"/>
      <c r="H14" s="4"/>
      <c r="I14" s="89"/>
    </row>
    <row r="15" spans="1:9">
      <c r="A15" s="7" t="s">
        <v>13</v>
      </c>
      <c r="B15" s="4"/>
      <c r="C15" s="10" t="s">
        <v>11</v>
      </c>
      <c r="D15" s="17">
        <f>D9+D11+D13</f>
        <v>1516656</v>
      </c>
      <c r="E15" s="10"/>
      <c r="F15" s="11">
        <f>F9+F11+F13</f>
        <v>34.817630853994487</v>
      </c>
      <c r="G15" s="12" t="s">
        <v>6</v>
      </c>
      <c r="H15" s="20"/>
      <c r="I15" s="71"/>
    </row>
    <row r="16" spans="1:9">
      <c r="A16" s="18" t="s">
        <v>14</v>
      </c>
      <c r="B16" s="19">
        <f>(D9/D15*B10)+(D11/D15*B12)+(D13/D15*B14)</f>
        <v>0.2</v>
      </c>
      <c r="C16" s="8"/>
      <c r="D16" s="4"/>
      <c r="E16" s="10"/>
      <c r="F16" s="4"/>
      <c r="G16" s="5"/>
      <c r="H16" s="4"/>
      <c r="I16" s="71"/>
    </row>
    <row r="17" spans="1:9">
      <c r="A17" s="18"/>
      <c r="B17" s="20"/>
      <c r="C17" s="4"/>
      <c r="D17" s="4"/>
      <c r="E17" s="4"/>
      <c r="F17" s="4"/>
      <c r="G17" s="5"/>
      <c r="H17" s="4"/>
      <c r="I17" s="89"/>
    </row>
    <row r="18" spans="1:9">
      <c r="A18" s="7"/>
      <c r="B18" s="10"/>
      <c r="C18" s="20"/>
      <c r="D18" s="10"/>
      <c r="E18" s="20"/>
      <c r="F18" s="10"/>
      <c r="G18" s="12"/>
      <c r="H18" s="20"/>
      <c r="I18" s="89"/>
    </row>
    <row r="19" spans="1:9">
      <c r="A19" s="161" t="s">
        <v>15</v>
      </c>
      <c r="B19" s="155"/>
      <c r="C19" s="155"/>
      <c r="D19" s="155"/>
      <c r="E19" s="155"/>
      <c r="F19" s="155"/>
      <c r="G19" s="156"/>
      <c r="H19" s="20"/>
      <c r="I19" s="89"/>
    </row>
    <row r="20" spans="1:9">
      <c r="A20" s="162" t="s">
        <v>16</v>
      </c>
      <c r="B20" s="163"/>
      <c r="C20" s="163"/>
      <c r="D20" s="163"/>
      <c r="E20" s="163"/>
      <c r="F20" s="163"/>
      <c r="G20" s="164"/>
      <c r="H20" s="93"/>
      <c r="I20" s="89"/>
    </row>
    <row r="21" spans="1:9">
      <c r="A21" s="7" t="s">
        <v>17</v>
      </c>
      <c r="B21" s="10" t="s">
        <v>18</v>
      </c>
      <c r="C21" s="21">
        <v>901</v>
      </c>
      <c r="D21" s="20" t="s">
        <v>19</v>
      </c>
      <c r="E21" s="4"/>
      <c r="F21" s="20" t="s">
        <v>20</v>
      </c>
      <c r="G21" s="22">
        <v>0.8</v>
      </c>
      <c r="H21" s="106"/>
      <c r="I21" s="89"/>
    </row>
    <row r="22" spans="1:9">
      <c r="A22" s="6"/>
      <c r="B22" s="10" t="s">
        <v>14</v>
      </c>
      <c r="C22" s="23">
        <f>B16</f>
        <v>0.2</v>
      </c>
      <c r="D22" s="20" t="s">
        <v>21</v>
      </c>
      <c r="E22" s="4"/>
      <c r="F22" s="4"/>
      <c r="G22" s="5"/>
      <c r="H22" s="4"/>
      <c r="I22" s="89"/>
    </row>
    <row r="23" spans="1:9">
      <c r="A23" s="6"/>
      <c r="B23" s="10" t="s">
        <v>22</v>
      </c>
      <c r="C23" s="24">
        <f>G21/C21*100</f>
        <v>8.8790233074361818E-2</v>
      </c>
      <c r="D23" s="20" t="s">
        <v>23</v>
      </c>
      <c r="E23" s="4"/>
      <c r="F23" s="4"/>
      <c r="G23" s="5"/>
      <c r="H23" s="4"/>
      <c r="I23" s="89"/>
    </row>
    <row r="24" spans="1:9">
      <c r="A24" s="7" t="s">
        <v>24</v>
      </c>
      <c r="B24" s="10" t="s">
        <v>25</v>
      </c>
      <c r="C24" s="23">
        <f>0.7039*(C21^0.3918)*(C22^-1.1309)*(C23^-0.1985)</f>
        <v>101.0152225081678</v>
      </c>
      <c r="D24" s="20" t="s">
        <v>26</v>
      </c>
      <c r="E24" s="25"/>
      <c r="F24" s="20"/>
      <c r="G24" s="5"/>
      <c r="H24" s="4"/>
      <c r="I24" s="89"/>
    </row>
    <row r="25" spans="1:9" ht="25.5">
      <c r="A25" s="107" t="s">
        <v>27</v>
      </c>
      <c r="B25" s="10" t="s">
        <v>28</v>
      </c>
      <c r="C25" s="26">
        <v>4.8</v>
      </c>
      <c r="D25" s="20" t="s">
        <v>29</v>
      </c>
      <c r="E25" s="4"/>
      <c r="F25" s="4"/>
      <c r="G25" s="5"/>
      <c r="H25" s="4"/>
      <c r="I25" s="89"/>
    </row>
    <row r="26" spans="1:9" ht="13.5" thickBot="1">
      <c r="A26" s="6"/>
      <c r="B26" s="4"/>
      <c r="C26" s="4"/>
      <c r="D26" s="4"/>
      <c r="E26" s="4"/>
      <c r="F26" s="4"/>
      <c r="G26" s="5"/>
      <c r="H26" s="4"/>
      <c r="I26" s="89"/>
    </row>
    <row r="27" spans="1:9" ht="15" thickBot="1">
      <c r="A27" s="27" t="s">
        <v>30</v>
      </c>
      <c r="B27" s="28">
        <f>F15*B16*C25</f>
        <v>33.42492561983471</v>
      </c>
      <c r="C27" s="29" t="s">
        <v>31</v>
      </c>
      <c r="D27" s="211"/>
      <c r="E27" s="212"/>
      <c r="F27" s="35"/>
      <c r="G27" s="29"/>
      <c r="H27" s="32"/>
      <c r="I27" s="89"/>
    </row>
    <row r="28" spans="1:9" ht="13.5" thickBot="1">
      <c r="A28" s="30"/>
      <c r="B28" s="31"/>
      <c r="C28" s="32"/>
      <c r="D28" s="4"/>
      <c r="E28" s="4"/>
      <c r="F28" s="4"/>
      <c r="G28" s="4"/>
      <c r="H28" s="4"/>
      <c r="I28" s="89"/>
    </row>
    <row r="29" spans="1:9">
      <c r="A29" s="168" t="s">
        <v>32</v>
      </c>
      <c r="B29" s="169"/>
      <c r="C29" s="169"/>
      <c r="D29" s="169"/>
      <c r="E29" s="169"/>
      <c r="F29" s="169"/>
      <c r="G29" s="170"/>
      <c r="H29" s="39"/>
      <c r="I29" s="89"/>
    </row>
    <row r="30" spans="1:9" ht="13.5" thickBot="1">
      <c r="A30" s="158" t="s">
        <v>114</v>
      </c>
      <c r="B30" s="159"/>
      <c r="C30" s="159"/>
      <c r="D30" s="159"/>
      <c r="E30" s="159"/>
      <c r="F30" s="159"/>
      <c r="G30" s="160"/>
      <c r="H30" s="105"/>
      <c r="I30" s="89"/>
    </row>
    <row r="31" spans="1:9" ht="15" thickTop="1">
      <c r="A31" s="3" t="s">
        <v>33</v>
      </c>
      <c r="B31" s="4"/>
      <c r="C31" s="4"/>
      <c r="D31" s="4"/>
      <c r="E31" s="4"/>
      <c r="F31" s="4"/>
      <c r="G31" s="5"/>
      <c r="H31" s="4"/>
      <c r="I31" s="89"/>
    </row>
    <row r="32" spans="1:9">
      <c r="A32" s="6"/>
      <c r="B32" s="4"/>
      <c r="C32" s="4"/>
      <c r="D32" s="4"/>
      <c r="E32" s="4"/>
      <c r="F32" s="4"/>
      <c r="G32" s="5"/>
      <c r="H32" s="4"/>
      <c r="I32" s="89"/>
    </row>
    <row r="33" spans="1:9">
      <c r="A33" s="7" t="s">
        <v>4</v>
      </c>
      <c r="B33" s="4"/>
      <c r="C33" s="10" t="s">
        <v>5</v>
      </c>
      <c r="D33" s="9">
        <v>600974</v>
      </c>
      <c r="E33" s="10"/>
      <c r="F33" s="11">
        <f>D33/43560</f>
        <v>13.796464646464646</v>
      </c>
      <c r="G33" s="12" t="s">
        <v>6</v>
      </c>
      <c r="H33" s="20"/>
      <c r="I33" s="89"/>
    </row>
    <row r="34" spans="1:9">
      <c r="A34" s="13" t="s">
        <v>7</v>
      </c>
      <c r="B34" s="14">
        <v>0.95</v>
      </c>
      <c r="C34" s="15"/>
      <c r="D34" s="15"/>
      <c r="E34" s="15"/>
      <c r="F34" s="15"/>
      <c r="G34" s="16"/>
      <c r="H34" s="4"/>
      <c r="I34" s="89"/>
    </row>
    <row r="35" spans="1:9">
      <c r="A35" s="7" t="s">
        <v>8</v>
      </c>
      <c r="B35" s="4"/>
      <c r="C35" s="10" t="s">
        <v>5</v>
      </c>
      <c r="D35" s="9"/>
      <c r="E35" s="10"/>
      <c r="F35" s="11">
        <f>D35/43560</f>
        <v>0</v>
      </c>
      <c r="G35" s="12" t="s">
        <v>6</v>
      </c>
      <c r="H35" s="20"/>
      <c r="I35" s="89"/>
    </row>
    <row r="36" spans="1:9">
      <c r="A36" s="13" t="s">
        <v>9</v>
      </c>
      <c r="B36" s="14">
        <v>0</v>
      </c>
      <c r="C36" s="15"/>
      <c r="D36" s="15"/>
      <c r="E36" s="15"/>
      <c r="F36" s="15"/>
      <c r="G36" s="16"/>
      <c r="H36" s="4"/>
      <c r="I36" s="89"/>
    </row>
    <row r="37" spans="1:9">
      <c r="A37" s="7" t="s">
        <v>10</v>
      </c>
      <c r="B37" s="4"/>
      <c r="C37" s="10" t="s">
        <v>5</v>
      </c>
      <c r="D37" s="9">
        <v>915682</v>
      </c>
      <c r="E37" s="10"/>
      <c r="F37" s="11">
        <f>D37/43560</f>
        <v>21.021166207529845</v>
      </c>
      <c r="G37" s="5"/>
      <c r="H37" s="4"/>
      <c r="I37" s="89"/>
    </row>
    <row r="38" spans="1:9">
      <c r="A38" s="13" t="s">
        <v>12</v>
      </c>
      <c r="B38" s="14">
        <v>0.2</v>
      </c>
      <c r="C38" s="15"/>
      <c r="D38" s="15"/>
      <c r="E38" s="15"/>
      <c r="F38" s="33"/>
      <c r="G38" s="16"/>
      <c r="H38" s="4"/>
      <c r="I38" s="89"/>
    </row>
    <row r="39" spans="1:9">
      <c r="A39" s="7" t="s">
        <v>13</v>
      </c>
      <c r="B39" s="4"/>
      <c r="C39" s="10" t="s">
        <v>5</v>
      </c>
      <c r="D39" s="17">
        <f>D33+D35+D37</f>
        <v>1516656</v>
      </c>
      <c r="E39" s="10"/>
      <c r="F39" s="11">
        <f>F33+F35+F37</f>
        <v>34.817630853994487</v>
      </c>
      <c r="G39" s="12" t="s">
        <v>6</v>
      </c>
      <c r="H39" s="20"/>
      <c r="I39" s="89"/>
    </row>
    <row r="40" spans="1:9">
      <c r="A40" s="18" t="s">
        <v>14</v>
      </c>
      <c r="B40" s="19">
        <f>((D33/D39)*B34)+((D35/D39)*B36)+((D37/D39)*B38)</f>
        <v>0.49718703516156593</v>
      </c>
      <c r="C40" s="8"/>
      <c r="D40" s="4"/>
      <c r="E40" s="10"/>
      <c r="F40" s="4"/>
      <c r="G40" s="5"/>
      <c r="H40" s="4"/>
      <c r="I40" s="89"/>
    </row>
    <row r="41" spans="1:9">
      <c r="A41" s="18"/>
      <c r="B41" s="20"/>
      <c r="C41" s="4"/>
      <c r="D41" s="4"/>
      <c r="E41" s="4"/>
      <c r="F41" s="4"/>
      <c r="G41" s="5"/>
      <c r="H41" s="4"/>
      <c r="I41" s="89"/>
    </row>
    <row r="42" spans="1:9">
      <c r="A42" s="7"/>
      <c r="B42" s="10"/>
      <c r="C42" s="20"/>
      <c r="D42" s="10"/>
      <c r="E42" s="20"/>
      <c r="F42" s="10"/>
      <c r="G42" s="12"/>
      <c r="H42" s="20"/>
      <c r="I42" s="89"/>
    </row>
    <row r="43" spans="1:9">
      <c r="A43" s="161" t="s">
        <v>34</v>
      </c>
      <c r="B43" s="155"/>
      <c r="C43" s="155"/>
      <c r="D43" s="155"/>
      <c r="E43" s="155"/>
      <c r="F43" s="155"/>
      <c r="G43" s="156"/>
      <c r="H43" s="20"/>
      <c r="I43" s="89"/>
    </row>
    <row r="44" spans="1:9">
      <c r="A44" s="162" t="s">
        <v>16</v>
      </c>
      <c r="B44" s="163"/>
      <c r="C44" s="163"/>
      <c r="D44" s="163"/>
      <c r="E44" s="163"/>
      <c r="F44" s="163"/>
      <c r="G44" s="164"/>
      <c r="H44" s="93"/>
      <c r="I44" s="89"/>
    </row>
    <row r="45" spans="1:9">
      <c r="A45" s="7" t="s">
        <v>17</v>
      </c>
      <c r="B45" s="10" t="s">
        <v>18</v>
      </c>
      <c r="C45" s="21">
        <v>901</v>
      </c>
      <c r="D45" s="20" t="s">
        <v>19</v>
      </c>
      <c r="E45" s="4"/>
      <c r="F45" s="20" t="s">
        <v>20</v>
      </c>
      <c r="G45" s="21">
        <v>0.8</v>
      </c>
      <c r="H45" s="106"/>
      <c r="I45" s="89"/>
    </row>
    <row r="46" spans="1:9">
      <c r="A46" s="6"/>
      <c r="B46" s="10" t="s">
        <v>14</v>
      </c>
      <c r="C46" s="23">
        <f>B40</f>
        <v>0.49718703516156593</v>
      </c>
      <c r="D46" s="20" t="s">
        <v>21</v>
      </c>
      <c r="E46" s="4"/>
      <c r="F46" s="4"/>
      <c r="G46" s="5"/>
      <c r="H46" s="4"/>
      <c r="I46" s="89"/>
    </row>
    <row r="47" spans="1:9">
      <c r="A47" s="6"/>
      <c r="B47" s="10" t="s">
        <v>22</v>
      </c>
      <c r="C47" s="24">
        <f>G45/C45*100</f>
        <v>8.8790233074361818E-2</v>
      </c>
      <c r="D47" s="20" t="s">
        <v>23</v>
      </c>
      <c r="E47" s="4"/>
      <c r="F47" s="4"/>
      <c r="G47" s="5"/>
      <c r="H47" s="4"/>
      <c r="I47" s="89"/>
    </row>
    <row r="48" spans="1:9">
      <c r="A48" s="7" t="s">
        <v>24</v>
      </c>
      <c r="B48" s="10" t="s">
        <v>25</v>
      </c>
      <c r="C48" s="23">
        <f>0.7039*(C45^0.3918)*(C46^-1.1309)*(C47^-0.1985)</f>
        <v>36.068444268888761</v>
      </c>
      <c r="D48" s="20" t="s">
        <v>26</v>
      </c>
      <c r="E48" s="25"/>
      <c r="F48" s="20"/>
      <c r="G48" s="5"/>
      <c r="H48" s="4"/>
      <c r="I48" s="89"/>
    </row>
    <row r="49" spans="1:10" ht="25.5">
      <c r="A49" s="107" t="s">
        <v>27</v>
      </c>
      <c r="B49" s="10" t="s">
        <v>28</v>
      </c>
      <c r="C49" s="34">
        <v>4.8</v>
      </c>
      <c r="D49" s="20" t="s">
        <v>29</v>
      </c>
      <c r="E49" s="4"/>
      <c r="F49" s="4"/>
      <c r="G49" s="5"/>
      <c r="H49" s="4"/>
      <c r="I49" s="89"/>
    </row>
    <row r="50" spans="1:10" ht="13.5" thickBot="1">
      <c r="A50" s="6"/>
      <c r="B50" s="4"/>
      <c r="C50" s="4"/>
      <c r="D50" s="4"/>
      <c r="E50" s="4"/>
      <c r="F50" s="4"/>
      <c r="G50" s="5"/>
      <c r="H50" s="4"/>
      <c r="I50" s="89"/>
    </row>
    <row r="51" spans="1:10" ht="15" thickBot="1">
      <c r="A51" s="27" t="s">
        <v>35</v>
      </c>
      <c r="B51" s="35">
        <f>F39*B40*C49</f>
        <v>83.092198347107413</v>
      </c>
      <c r="C51" s="29" t="s">
        <v>31</v>
      </c>
      <c r="F51" s="4"/>
      <c r="H51" s="4"/>
      <c r="I51" s="89"/>
    </row>
    <row r="52" spans="1:10" ht="13.5" thickBot="1">
      <c r="A52" s="4"/>
      <c r="B52" s="4"/>
      <c r="C52" s="4"/>
      <c r="D52" s="4"/>
      <c r="E52" s="4"/>
      <c r="F52" s="4"/>
      <c r="G52" s="4"/>
      <c r="H52" s="4"/>
      <c r="I52" s="89"/>
    </row>
    <row r="53" spans="1:10" ht="13.5" thickBot="1">
      <c r="A53" s="165" t="s">
        <v>36</v>
      </c>
      <c r="B53" s="166"/>
      <c r="C53" s="166"/>
      <c r="D53" s="166"/>
      <c r="E53" s="166"/>
      <c r="F53" s="166"/>
      <c r="G53" s="167"/>
      <c r="H53" s="39"/>
      <c r="I53" s="89"/>
    </row>
    <row r="54" spans="1:10" ht="13.5" thickTop="1">
      <c r="A54" s="38"/>
      <c r="B54" s="39"/>
      <c r="C54" s="39"/>
      <c r="D54" s="39"/>
      <c r="E54" s="39"/>
      <c r="F54" s="39"/>
      <c r="G54" s="40"/>
      <c r="H54" s="39"/>
      <c r="I54" s="89"/>
    </row>
    <row r="55" spans="1:10" ht="15.75">
      <c r="A55" s="7" t="s">
        <v>37</v>
      </c>
      <c r="B55" s="4" t="s">
        <v>38</v>
      </c>
      <c r="C55" s="4"/>
      <c r="D55" s="11">
        <f>B51-B27</f>
        <v>49.667272727272703</v>
      </c>
      <c r="E55" s="20" t="s">
        <v>39</v>
      </c>
      <c r="F55" s="4"/>
      <c r="G55" s="5"/>
      <c r="H55" s="4"/>
      <c r="I55" s="89"/>
    </row>
    <row r="56" spans="1:10" ht="14.25">
      <c r="A56" s="7" t="s">
        <v>40</v>
      </c>
      <c r="B56" s="4"/>
      <c r="C56" s="4"/>
      <c r="D56" s="41">
        <f>D55*60*60</f>
        <v>178802.18181818174</v>
      </c>
      <c r="E56" s="213" t="s">
        <v>143</v>
      </c>
      <c r="F56" s="4"/>
      <c r="G56" s="5"/>
      <c r="H56" s="4"/>
      <c r="I56" s="89"/>
    </row>
    <row r="57" spans="1:10">
      <c r="A57" s="7" t="s">
        <v>41</v>
      </c>
      <c r="B57" s="4"/>
      <c r="C57" s="4"/>
      <c r="D57" s="20" t="s">
        <v>42</v>
      </c>
      <c r="E57" s="9"/>
      <c r="F57" s="20" t="s">
        <v>43</v>
      </c>
      <c r="G57" s="5"/>
      <c r="I57" s="89"/>
      <c r="J57" s="88"/>
    </row>
    <row r="58" spans="1:10">
      <c r="A58" s="6"/>
      <c r="B58" s="4"/>
      <c r="C58" s="4"/>
      <c r="D58" s="20" t="s">
        <v>44</v>
      </c>
      <c r="E58" s="9"/>
      <c r="F58" s="20" t="s">
        <v>43</v>
      </c>
      <c r="G58" s="5"/>
      <c r="I58" s="89"/>
      <c r="J58" s="88"/>
    </row>
    <row r="59" spans="1:10" ht="13.5" thickBot="1">
      <c r="A59" s="42"/>
      <c r="B59" s="43"/>
      <c r="C59" s="43"/>
      <c r="D59" s="44" t="s">
        <v>45</v>
      </c>
      <c r="E59" s="45" t="e">
        <f>D56/E57/E58</f>
        <v>#DIV/0!</v>
      </c>
      <c r="F59" s="46" t="s">
        <v>43</v>
      </c>
      <c r="G59" s="47"/>
      <c r="I59" s="89"/>
      <c r="J59" s="88"/>
    </row>
    <row r="60" spans="1:10" ht="14.25" thickTop="1" thickBot="1">
      <c r="A60" s="152" t="s">
        <v>46</v>
      </c>
      <c r="B60" s="153"/>
      <c r="C60" s="153"/>
      <c r="D60" s="153"/>
      <c r="E60" s="153"/>
      <c r="F60" s="153"/>
      <c r="G60" s="154"/>
      <c r="H60" s="39"/>
      <c r="I60" s="89"/>
    </row>
    <row r="61" spans="1:10" ht="13.5" thickTop="1">
      <c r="A61" s="6"/>
      <c r="B61" s="4"/>
      <c r="C61" s="4"/>
      <c r="D61" s="4"/>
      <c r="E61" s="4"/>
      <c r="F61" s="4"/>
      <c r="G61" s="5"/>
      <c r="H61" s="4"/>
      <c r="I61" s="89"/>
    </row>
    <row r="62" spans="1:10">
      <c r="A62" s="3" t="s">
        <v>47</v>
      </c>
      <c r="B62" s="4"/>
      <c r="C62" s="155" t="s">
        <v>48</v>
      </c>
      <c r="D62" s="155"/>
      <c r="E62" s="155"/>
      <c r="F62" s="155"/>
      <c r="G62" s="156"/>
      <c r="H62" s="20"/>
      <c r="I62" s="89"/>
    </row>
    <row r="63" spans="1:10">
      <c r="A63" s="6"/>
      <c r="B63" s="4"/>
      <c r="C63" s="4"/>
      <c r="D63" s="4"/>
      <c r="E63" s="4"/>
      <c r="F63" s="4"/>
      <c r="G63" s="5"/>
      <c r="H63" s="4"/>
      <c r="I63" s="89"/>
    </row>
    <row r="64" spans="1:10">
      <c r="A64" s="7" t="s">
        <v>49</v>
      </c>
      <c r="B64" s="4"/>
      <c r="C64" s="10" t="s">
        <v>50</v>
      </c>
      <c r="D64" s="11">
        <f>B27</f>
        <v>33.42492561983471</v>
      </c>
      <c r="E64" s="20" t="s">
        <v>31</v>
      </c>
      <c r="F64" s="4"/>
      <c r="G64" s="5"/>
      <c r="H64" s="4"/>
      <c r="I64" s="89"/>
    </row>
    <row r="65" spans="1:9">
      <c r="A65" s="7" t="s">
        <v>51</v>
      </c>
      <c r="B65" s="4"/>
      <c r="C65" s="10" t="s">
        <v>14</v>
      </c>
      <c r="D65" s="8">
        <v>0.98</v>
      </c>
      <c r="E65" s="20" t="s">
        <v>52</v>
      </c>
      <c r="F65" s="4"/>
      <c r="G65" s="5"/>
      <c r="H65" s="4"/>
      <c r="I65" s="88"/>
    </row>
    <row r="66" spans="1:9">
      <c r="A66" s="7" t="s">
        <v>53</v>
      </c>
      <c r="B66" s="4"/>
      <c r="C66" s="10" t="s">
        <v>54</v>
      </c>
      <c r="D66" s="8">
        <v>32.200000000000003</v>
      </c>
      <c r="E66" s="20" t="s">
        <v>55</v>
      </c>
      <c r="F66" s="4"/>
      <c r="G66" s="5"/>
      <c r="H66" s="4"/>
    </row>
    <row r="67" spans="1:9">
      <c r="A67" s="7" t="s">
        <v>56</v>
      </c>
      <c r="B67" s="4"/>
      <c r="C67" s="10" t="s">
        <v>57</v>
      </c>
      <c r="D67" s="48" t="e">
        <f>E59</f>
        <v>#DIV/0!</v>
      </c>
      <c r="E67" s="20" t="s">
        <v>58</v>
      </c>
      <c r="F67" s="4"/>
      <c r="G67" s="5"/>
      <c r="H67" s="4"/>
    </row>
    <row r="68" spans="1:9">
      <c r="A68" s="7" t="s">
        <v>59</v>
      </c>
      <c r="B68" s="4"/>
      <c r="C68" s="10" t="s">
        <v>60</v>
      </c>
      <c r="D68" s="19" t="e">
        <f>D64/(D65*(2*D66*D67)^0.5)</f>
        <v>#DIV/0!</v>
      </c>
      <c r="E68" s="20" t="s">
        <v>61</v>
      </c>
      <c r="F68" s="4"/>
      <c r="G68" s="5"/>
      <c r="H68" s="4"/>
    </row>
    <row r="69" spans="1:9" ht="13.5" thickBot="1">
      <c r="A69" s="6"/>
      <c r="B69" s="4"/>
      <c r="C69" s="4"/>
      <c r="D69" s="4"/>
      <c r="E69" s="4"/>
      <c r="F69" s="4"/>
      <c r="G69" s="5"/>
      <c r="H69" s="4"/>
    </row>
    <row r="70" spans="1:9" ht="13.5" thickBot="1">
      <c r="A70" s="49" t="s">
        <v>140</v>
      </c>
      <c r="B70" s="4"/>
      <c r="C70" s="4"/>
      <c r="D70" s="50" t="e">
        <f>((D68/PI())^0.5)*2*12</f>
        <v>#DIV/0!</v>
      </c>
      <c r="E70" s="32" t="s">
        <v>62</v>
      </c>
      <c r="F70" s="4"/>
      <c r="G70" s="5"/>
      <c r="H70" s="4"/>
    </row>
    <row r="71" spans="1:9">
      <c r="A71" s="6"/>
      <c r="B71" s="4"/>
      <c r="C71" s="32"/>
      <c r="D71" s="51"/>
      <c r="E71" s="52"/>
      <c r="F71" s="4"/>
      <c r="G71" s="5"/>
      <c r="H71" s="4"/>
    </row>
    <row r="72" spans="1:9" ht="13.5" thickBot="1">
      <c r="A72" s="53"/>
      <c r="B72" s="36"/>
      <c r="C72" s="36"/>
      <c r="D72" s="110"/>
      <c r="E72" s="36"/>
      <c r="F72" s="36"/>
      <c r="G72" s="37"/>
      <c r="H72" s="4"/>
    </row>
    <row r="75" spans="1:9" ht="13.5" thickBot="1"/>
    <row r="76" spans="1:9" ht="13.5" thickBot="1">
      <c r="A76" s="182" t="s">
        <v>115</v>
      </c>
      <c r="B76" s="183"/>
      <c r="C76" s="183"/>
      <c r="D76" s="183"/>
      <c r="E76" s="183"/>
      <c r="F76" s="183"/>
      <c r="G76" s="183"/>
      <c r="H76" s="184"/>
    </row>
    <row r="77" spans="1:9">
      <c r="A77" s="133"/>
      <c r="B77" s="134"/>
      <c r="C77" s="134"/>
      <c r="D77" s="134"/>
      <c r="E77" s="134"/>
      <c r="F77" s="134"/>
      <c r="G77" s="134"/>
      <c r="H77" s="135"/>
    </row>
    <row r="78" spans="1:9">
      <c r="A78" s="124"/>
      <c r="B78" s="118" t="s">
        <v>133</v>
      </c>
      <c r="C78" s="118"/>
      <c r="D78" s="119">
        <f>F39</f>
        <v>34.817630853994487</v>
      </c>
      <c r="E78" s="150"/>
      <c r="F78" t="s">
        <v>136</v>
      </c>
    </row>
    <row r="79" spans="1:9">
      <c r="A79" s="124"/>
      <c r="B79" s="185" t="s">
        <v>131</v>
      </c>
      <c r="C79" s="186"/>
      <c r="D79" s="120">
        <f>B40</f>
        <v>0.49718703516156593</v>
      </c>
      <c r="E79" s="118"/>
      <c r="F79" s="121" t="s">
        <v>42</v>
      </c>
      <c r="G79" s="122">
        <v>190</v>
      </c>
      <c r="H79" s="126" t="s">
        <v>43</v>
      </c>
    </row>
    <row r="80" spans="1:9">
      <c r="A80" s="124"/>
      <c r="B80" s="118" t="s">
        <v>132</v>
      </c>
      <c r="C80" s="118"/>
      <c r="D80" s="120">
        <f>B16</f>
        <v>0.2</v>
      </c>
      <c r="E80" s="118"/>
      <c r="F80" s="121" t="s">
        <v>44</v>
      </c>
      <c r="G80" s="122">
        <v>155</v>
      </c>
      <c r="H80" s="126" t="s">
        <v>43</v>
      </c>
    </row>
    <row r="81" spans="1:8" ht="13.5" customHeight="1">
      <c r="A81" s="124"/>
      <c r="B81" s="118" t="s">
        <v>116</v>
      </c>
      <c r="C81" s="118"/>
      <c r="D81" s="179" t="s">
        <v>135</v>
      </c>
      <c r="E81" s="180"/>
      <c r="F81" s="180"/>
      <c r="G81" s="180"/>
      <c r="H81" s="181"/>
    </row>
    <row r="82" spans="1:8">
      <c r="A82" s="124"/>
      <c r="B82" s="118" t="s">
        <v>117</v>
      </c>
      <c r="C82" s="118"/>
      <c r="D82" s="118">
        <v>7</v>
      </c>
      <c r="E82" s="118" t="s">
        <v>124</v>
      </c>
      <c r="F82" s="118"/>
      <c r="G82" s="118"/>
      <c r="H82" s="125"/>
    </row>
    <row r="83" spans="1:8" ht="15.75">
      <c r="A83" s="124"/>
      <c r="B83" s="118" t="s">
        <v>121</v>
      </c>
      <c r="C83" s="118"/>
      <c r="D83" s="118">
        <v>0.88</v>
      </c>
      <c r="E83" s="118"/>
      <c r="F83" s="118"/>
      <c r="G83" s="118"/>
      <c r="H83" s="125"/>
    </row>
    <row r="84" spans="1:8" ht="52.5">
      <c r="A84" s="127" t="s">
        <v>126</v>
      </c>
      <c r="B84" s="113" t="s">
        <v>125</v>
      </c>
      <c r="C84" s="114" t="s">
        <v>128</v>
      </c>
      <c r="D84" s="114" t="s">
        <v>138</v>
      </c>
      <c r="E84" s="114" t="s">
        <v>129</v>
      </c>
      <c r="F84" s="114" t="s">
        <v>118</v>
      </c>
      <c r="G84" s="114" t="s">
        <v>122</v>
      </c>
      <c r="H84" s="128" t="s">
        <v>127</v>
      </c>
    </row>
    <row r="85" spans="1:8" ht="41.25">
      <c r="A85" s="127" t="s">
        <v>119</v>
      </c>
      <c r="B85" s="113" t="s">
        <v>120</v>
      </c>
      <c r="C85" s="115" t="s">
        <v>137</v>
      </c>
      <c r="D85" s="115" t="s">
        <v>139</v>
      </c>
      <c r="E85" s="115" t="s">
        <v>123</v>
      </c>
      <c r="F85" s="115" t="s">
        <v>130</v>
      </c>
      <c r="G85" s="115" t="s">
        <v>141</v>
      </c>
      <c r="H85" s="129" t="s">
        <v>134</v>
      </c>
    </row>
    <row r="86" spans="1:8">
      <c r="A86" s="130">
        <v>5</v>
      </c>
      <c r="B86" s="117">
        <f>4.611*1/(A86/60+0.346)^0.798</f>
        <v>9.053677589881481</v>
      </c>
      <c r="C86" s="136">
        <f>60*A86*B86*D78*D79</f>
        <v>47018.123379324592</v>
      </c>
      <c r="D86" s="136">
        <f>60*A86*B86*D78*D80*0.75</f>
        <v>14185.242188800916</v>
      </c>
      <c r="E86" s="136">
        <f>C86-D86</f>
        <v>32832.88119052368</v>
      </c>
      <c r="F86" s="136">
        <f>60*A86*D82*D83</f>
        <v>1848</v>
      </c>
      <c r="G86" s="136">
        <f>E86-F86</f>
        <v>30984.88119052368</v>
      </c>
      <c r="H86" s="141">
        <f>(G86/G79)/(G80)</f>
        <v>1.0521182068089534</v>
      </c>
    </row>
    <row r="87" spans="1:8">
      <c r="A87" s="130">
        <v>10</v>
      </c>
      <c r="B87" s="117">
        <f t="shared" ref="B87:B144" si="0">4.611*1/(A87/60+0.346)^0.798</f>
        <v>7.8586279368153358</v>
      </c>
      <c r="C87" s="136">
        <f>60*A87*B87*D78*D79</f>
        <v>81623.833907747437</v>
      </c>
      <c r="D87" s="136">
        <f>60*A87*B87*D78*D80*0.75</f>
        <v>24625.692587063222</v>
      </c>
      <c r="E87" s="136">
        <f t="shared" ref="E87:E144" si="1">C87-D87</f>
        <v>56998.141320684212</v>
      </c>
      <c r="F87" s="136">
        <f>60*A87*D82*D83</f>
        <v>3696</v>
      </c>
      <c r="G87" s="136">
        <f t="shared" ref="G87:G144" si="2">E87-F87</f>
        <v>53302.141320684212</v>
      </c>
      <c r="H87" s="141">
        <f>(G87/G79)/G80</f>
        <v>1.8099199090215352</v>
      </c>
    </row>
    <row r="88" spans="1:8">
      <c r="A88" s="130">
        <v>15</v>
      </c>
      <c r="B88" s="117">
        <f t="shared" si="0"/>
        <v>6.9686492665671613</v>
      </c>
      <c r="C88" s="136">
        <f>60*A88*B88*D78*D79</f>
        <v>108570.07257544185</v>
      </c>
      <c r="D88" s="136">
        <f>60*A88*B88*D78*D80*0.75</f>
        <v>32755.300791429807</v>
      </c>
      <c r="E88" s="136">
        <f t="shared" si="1"/>
        <v>75814.771784012046</v>
      </c>
      <c r="F88" s="136">
        <f>60*A88*D82*D83</f>
        <v>5544</v>
      </c>
      <c r="G88" s="136">
        <f t="shared" si="2"/>
        <v>70270.771784012046</v>
      </c>
      <c r="H88" s="141">
        <f>G88/(G79*G80)</f>
        <v>2.3861043050598316</v>
      </c>
    </row>
    <row r="89" spans="1:8">
      <c r="A89" s="130">
        <v>20</v>
      </c>
      <c r="B89" s="117">
        <f t="shared" si="0"/>
        <v>6.2775900046862301</v>
      </c>
      <c r="C89" s="136">
        <f>60*A89*B89*D78*D79</f>
        <v>130404.68845280181</v>
      </c>
      <c r="D89" s="136">
        <f>60*A89*B89*D78*D80*0.75</f>
        <v>39342.746058460325</v>
      </c>
      <c r="E89" s="136">
        <f t="shared" si="1"/>
        <v>91061.942394341488</v>
      </c>
      <c r="F89" s="136">
        <f>60*A89*D82*D83</f>
        <v>7392</v>
      </c>
      <c r="G89" s="136">
        <f t="shared" si="2"/>
        <v>83669.942394341488</v>
      </c>
      <c r="H89" s="141">
        <f>G89/(G79*G80)</f>
        <v>2.8410846313868077</v>
      </c>
    </row>
    <row r="90" spans="1:8">
      <c r="A90" s="130">
        <v>25</v>
      </c>
      <c r="B90" s="117">
        <f t="shared" si="0"/>
        <v>5.7238992311292058</v>
      </c>
      <c r="C90" s="136">
        <f>60*A90*B90*D78*D79</f>
        <v>148628.55319745114</v>
      </c>
      <c r="D90" s="136">
        <f>60*A90*B90*D78*D80*0.75</f>
        <v>44840.8373568569</v>
      </c>
      <c r="E90" s="136">
        <f t="shared" si="1"/>
        <v>103787.71584059423</v>
      </c>
      <c r="F90" s="136">
        <f>60*A90*D82*D83</f>
        <v>9240</v>
      </c>
      <c r="G90" s="136">
        <f t="shared" si="2"/>
        <v>94547.715840594232</v>
      </c>
      <c r="H90" s="141">
        <f>G90/(G79*G80)</f>
        <v>3.210448755198446</v>
      </c>
    </row>
    <row r="91" spans="1:8">
      <c r="A91" s="130">
        <v>30</v>
      </c>
      <c r="B91" s="117">
        <f t="shared" si="0"/>
        <v>5.2693078537925659</v>
      </c>
      <c r="C91" s="136">
        <f>60*A91*B91*D78*D79</f>
        <v>164189.39000223856</v>
      </c>
      <c r="D91" s="136">
        <f>60*A91*B91*D78*D80*0.75</f>
        <v>49535.500241538954</v>
      </c>
      <c r="E91" s="136">
        <f t="shared" si="1"/>
        <v>114653.88976069962</v>
      </c>
      <c r="F91" s="136">
        <f>60*A91*D82*D83</f>
        <v>11088</v>
      </c>
      <c r="G91" s="136">
        <f t="shared" si="2"/>
        <v>103565.88976069962</v>
      </c>
      <c r="H91" s="141">
        <f>G91/(G79*G80)</f>
        <v>3.5166685827062687</v>
      </c>
    </row>
    <row r="92" spans="1:8">
      <c r="A92" s="146">
        <v>35</v>
      </c>
      <c r="B92" s="117">
        <f t="shared" si="0"/>
        <v>4.8887097518755214</v>
      </c>
      <c r="C92" s="148">
        <f>60*A92*B92*D78*D79</f>
        <v>177718.46765937214</v>
      </c>
      <c r="D92" s="148">
        <f>60*A92*B92*D78*D80*0.75</f>
        <v>53617.186820334347</v>
      </c>
      <c r="E92" s="148">
        <f t="shared" si="1"/>
        <v>124101.28083903779</v>
      </c>
      <c r="F92" s="148">
        <f>60*A92*D82*D83</f>
        <v>12936</v>
      </c>
      <c r="G92" s="136">
        <f t="shared" si="2"/>
        <v>111165.28083903779</v>
      </c>
      <c r="H92" s="147">
        <f>G92/(G79*G80)</f>
        <v>3.7747124223781934</v>
      </c>
    </row>
    <row r="93" spans="1:8">
      <c r="A93" s="130">
        <v>40</v>
      </c>
      <c r="B93" s="117">
        <f t="shared" si="0"/>
        <v>4.5649165571471224</v>
      </c>
      <c r="C93" s="136">
        <f>60*A93*B93*D78*D79</f>
        <v>189654.47600223174</v>
      </c>
      <c r="D93" s="136">
        <f>60*A93*B93*D78*D80*0.75</f>
        <v>57218.248643772946</v>
      </c>
      <c r="E93" s="136">
        <f t="shared" si="1"/>
        <v>132436.2273584588</v>
      </c>
      <c r="F93" s="136">
        <f>60*A93*D82*D83</f>
        <v>14784</v>
      </c>
      <c r="G93" s="136">
        <f t="shared" si="2"/>
        <v>117652.2273584588</v>
      </c>
      <c r="H93" s="141">
        <f>G93/(G79*G80)</f>
        <v>3.9949822532583634</v>
      </c>
    </row>
    <row r="94" spans="1:8">
      <c r="A94" s="130">
        <v>45</v>
      </c>
      <c r="B94" s="117">
        <f t="shared" si="0"/>
        <v>4.2857447322829438</v>
      </c>
      <c r="C94" s="136">
        <f>60*A94*B94*D78*D79</f>
        <v>200312.97263995791</v>
      </c>
      <c r="D94" s="136">
        <f>60*A94*B94*D78*D80*0.75</f>
        <v>60433.888599346988</v>
      </c>
      <c r="E94" s="136">
        <f t="shared" si="1"/>
        <v>139879.08404061093</v>
      </c>
      <c r="F94" s="136">
        <f>60*A94*D82*D83</f>
        <v>16632</v>
      </c>
      <c r="G94" s="136">
        <f t="shared" si="2"/>
        <v>123247.08404061093</v>
      </c>
      <c r="H94" s="141">
        <f>G94/(G79*G80)</f>
        <v>4.1849604088492676</v>
      </c>
    </row>
    <row r="95" spans="1:8">
      <c r="A95" s="130">
        <v>50</v>
      </c>
      <c r="B95" s="117">
        <f t="shared" si="0"/>
        <v>4.0423055350163581</v>
      </c>
      <c r="C95" s="136">
        <f>60*A95*B95*D78*D79</f>
        <v>209927.53330949342</v>
      </c>
      <c r="D95" s="136">
        <f>60*A95*B95*D78*D80*0.75</f>
        <v>63334.575862766214</v>
      </c>
      <c r="E95" s="136">
        <f t="shared" si="1"/>
        <v>146592.9574467272</v>
      </c>
      <c r="F95" s="136">
        <f>60*A95*D82*D83</f>
        <v>18480</v>
      </c>
      <c r="G95" s="136">
        <f t="shared" si="2"/>
        <v>128112.9574467272</v>
      </c>
      <c r="H95" s="141">
        <f>G95/(G79*G80)</f>
        <v>4.3501853122827576</v>
      </c>
    </row>
    <row r="96" spans="1:8">
      <c r="A96" s="130">
        <v>55</v>
      </c>
      <c r="B96" s="117">
        <f t="shared" si="0"/>
        <v>3.8279541488067732</v>
      </c>
      <c r="C96" s="136">
        <f>60*A96*B96*D78*D79</f>
        <v>218675.27370994605</v>
      </c>
      <c r="D96" s="136">
        <f>60*A96*B96*D78*D80*0.75</f>
        <v>65973.745767189597</v>
      </c>
      <c r="E96" s="136">
        <f t="shared" si="1"/>
        <v>152701.52794275645</v>
      </c>
      <c r="F96" s="136">
        <f>60*A96*D82*D83</f>
        <v>20328</v>
      </c>
      <c r="G96" s="136">
        <f t="shared" si="2"/>
        <v>132373.52794275645</v>
      </c>
      <c r="H96" s="141">
        <f>G96/(G79*G80)</f>
        <v>4.4948566364263653</v>
      </c>
    </row>
    <row r="97" spans="1:8">
      <c r="A97" s="130">
        <v>60</v>
      </c>
      <c r="B97" s="117">
        <f t="shared" si="0"/>
        <v>3.6376186215779986</v>
      </c>
      <c r="C97" s="136">
        <f>60*A97*B97*D78*D79</f>
        <v>226693.29601146793</v>
      </c>
      <c r="D97" s="136">
        <f>60*A97*B97*D78*D80*0.75</f>
        <v>68392.76167100828</v>
      </c>
      <c r="E97" s="136">
        <f t="shared" si="1"/>
        <v>158300.53434045965</v>
      </c>
      <c r="F97" s="136">
        <f>60*A97*D82*D83</f>
        <v>22176</v>
      </c>
      <c r="G97" s="136">
        <f t="shared" si="2"/>
        <v>136124.53434045965</v>
      </c>
      <c r="H97" s="141">
        <f>G97/(G79*G80)</f>
        <v>4.6222252747184944</v>
      </c>
    </row>
    <row r="98" spans="1:8">
      <c r="A98" s="130">
        <v>65</v>
      </c>
      <c r="B98" s="117">
        <f t="shared" si="0"/>
        <v>3.4673571010544575</v>
      </c>
      <c r="C98" s="136">
        <f>60*A98*B98*D78*D79</f>
        <v>234089.63823461806</v>
      </c>
      <c r="D98" s="136">
        <f>60*A98*B98*D78*D80*0.75</f>
        <v>70624.218356341982</v>
      </c>
      <c r="E98" s="136">
        <f t="shared" si="1"/>
        <v>163465.41987827606</v>
      </c>
      <c r="F98" s="136">
        <f>60*A98*D82*D83</f>
        <v>24024</v>
      </c>
      <c r="G98" s="136">
        <f t="shared" si="2"/>
        <v>139441.41987827606</v>
      </c>
      <c r="H98" s="141">
        <f>G98/(G79*G80)</f>
        <v>4.7348529670042803</v>
      </c>
    </row>
    <row r="99" spans="1:8">
      <c r="A99" s="130">
        <v>70</v>
      </c>
      <c r="B99" s="117">
        <f t="shared" si="0"/>
        <v>3.3140573468268819</v>
      </c>
      <c r="C99" s="136">
        <f>60*A99*B99*D78*D79</f>
        <v>240950.77159669937</v>
      </c>
      <c r="D99" s="136">
        <f>60*A99*B99*D78*D80*0.75</f>
        <v>72694.203958395665</v>
      </c>
      <c r="E99" s="136">
        <f t="shared" si="1"/>
        <v>168256.56763830371</v>
      </c>
      <c r="F99" s="136">
        <f>60*A99*D82*D83</f>
        <v>25872</v>
      </c>
      <c r="G99" s="136">
        <f t="shared" si="2"/>
        <v>142384.56763830371</v>
      </c>
      <c r="H99" s="141">
        <f>G99/(G79*G80)</f>
        <v>4.8347900726079356</v>
      </c>
    </row>
    <row r="100" spans="1:8">
      <c r="A100" s="130">
        <v>75</v>
      </c>
      <c r="B100" s="117">
        <f t="shared" si="0"/>
        <v>3.1752277275989198</v>
      </c>
      <c r="C100" s="136">
        <f>60*A100*B100*D78*D79</f>
        <v>247346.86138020435</v>
      </c>
      <c r="D100" s="136">
        <f>60*A100*B100*D78*D80*0.75</f>
        <v>74623.887155412202</v>
      </c>
      <c r="E100" s="136">
        <f t="shared" si="1"/>
        <v>172722.97422479215</v>
      </c>
      <c r="F100" s="136">
        <f>60*A100*D82*D83</f>
        <v>27720</v>
      </c>
      <c r="G100" s="136">
        <f t="shared" si="2"/>
        <v>145002.97422479215</v>
      </c>
      <c r="H100" s="141">
        <f>G100/(G79*G80)</f>
        <v>4.9237003132357264</v>
      </c>
    </row>
    <row r="101" spans="1:8">
      <c r="A101" s="130">
        <v>80</v>
      </c>
      <c r="B101" s="117">
        <f t="shared" si="0"/>
        <v>3.0488486745285099</v>
      </c>
      <c r="C101" s="136">
        <f>60*A101*B101*D78*D79</f>
        <v>253335.53879423853</v>
      </c>
      <c r="D101" s="136">
        <f>60*A101*B101*D78*D80*0.75</f>
        <v>76430.655129185325</v>
      </c>
      <c r="E101" s="136">
        <f t="shared" si="1"/>
        <v>176904.8836650532</v>
      </c>
      <c r="F101" s="136">
        <f>60*A101*D82*D83</f>
        <v>29568</v>
      </c>
      <c r="G101" s="136">
        <f t="shared" si="2"/>
        <v>147336.8836650532</v>
      </c>
      <c r="H101" s="141">
        <f>G101/(G79*G80)</f>
        <v>5.0029502093396676</v>
      </c>
    </row>
    <row r="102" spans="1:8">
      <c r="A102" s="130">
        <v>85</v>
      </c>
      <c r="B102" s="117">
        <f t="shared" si="0"/>
        <v>2.9332650605928907</v>
      </c>
      <c r="C102" s="136">
        <f>60*A102*B102*D78*D79</f>
        <v>258964.65735813856</v>
      </c>
      <c r="D102" s="136">
        <f>60*A102*B102*D78*D80*0.75</f>
        <v>78128.945158631919</v>
      </c>
      <c r="E102" s="136">
        <f t="shared" si="1"/>
        <v>180835.71219950664</v>
      </c>
      <c r="F102" s="136">
        <f>60*A102*D82*D83</f>
        <v>31416</v>
      </c>
      <c r="G102" s="136">
        <f t="shared" si="2"/>
        <v>149419.71219950664</v>
      </c>
      <c r="H102" s="141">
        <f>G102/(G79*G80)</f>
        <v>5.0736744380138079</v>
      </c>
    </row>
    <row r="103" spans="1:8">
      <c r="A103" s="130">
        <v>90</v>
      </c>
      <c r="B103" s="117">
        <f t="shared" si="0"/>
        <v>2.8271068850124923</v>
      </c>
      <c r="C103" s="136">
        <f>60*A103*B103*D78*D79</f>
        <v>264274.34179267241</v>
      </c>
      <c r="D103" s="136">
        <f>60*A103*B103*D78*D80*0.75</f>
        <v>79730.862764792473</v>
      </c>
      <c r="E103" s="136">
        <f t="shared" si="1"/>
        <v>184543.47902787995</v>
      </c>
      <c r="F103" s="136">
        <f>60*A103*D82*D83</f>
        <v>33264</v>
      </c>
      <c r="G103" s="136">
        <f t="shared" si="2"/>
        <v>151279.47902787995</v>
      </c>
      <c r="H103" s="141">
        <f>G103/(G79*G80)</f>
        <v>5.1368244152081477</v>
      </c>
    </row>
    <row r="104" spans="1:8">
      <c r="A104" s="130">
        <v>95</v>
      </c>
      <c r="B104" s="117">
        <f t="shared" si="0"/>
        <v>2.7292299128092776</v>
      </c>
      <c r="C104" s="136">
        <f>60*A104*B104*D78*D79</f>
        <v>269298.53448438348</v>
      </c>
      <c r="D104" s="136">
        <f>60*A104*B104*D78*D80*0.75</f>
        <v>81246.648274991399</v>
      </c>
      <c r="E104" s="136">
        <f t="shared" si="1"/>
        <v>188051.88620939208</v>
      </c>
      <c r="F104" s="136">
        <f>60*A104*D82*D83</f>
        <v>35112</v>
      </c>
      <c r="G104" s="136">
        <f t="shared" si="2"/>
        <v>152939.88620939208</v>
      </c>
      <c r="H104" s="141">
        <f>G104/(G79*G80)</f>
        <v>5.1932049646652656</v>
      </c>
    </row>
    <row r="105" spans="1:8" ht="13.5" thickBot="1">
      <c r="A105" s="131">
        <v>100</v>
      </c>
      <c r="B105" s="132">
        <f t="shared" si="0"/>
        <v>2.6386706276892298</v>
      </c>
      <c r="C105" s="137">
        <f>60*A105*B105*D78*D79</f>
        <v>274066.17896079988</v>
      </c>
      <c r="D105" s="137">
        <f>60*A105*B105*D78*D80*0.75</f>
        <v>82685.033874145374</v>
      </c>
      <c r="E105" s="137">
        <f t="shared" si="1"/>
        <v>191381.14508665452</v>
      </c>
      <c r="F105" s="137">
        <f>60*A105*D82*D83</f>
        <v>36960</v>
      </c>
      <c r="G105" s="136">
        <f t="shared" si="2"/>
        <v>154421.14508665452</v>
      </c>
      <c r="H105" s="142">
        <f>G105/(G79*G80)</f>
        <v>5.2435023798524458</v>
      </c>
    </row>
    <row r="106" spans="1:8">
      <c r="A106" s="123">
        <v>110</v>
      </c>
      <c r="B106" s="108">
        <f t="shared" si="0"/>
        <v>2.4763546399335632</v>
      </c>
      <c r="C106" s="138">
        <f>60*A106*B106*D78*D79</f>
        <v>282927.90751381672</v>
      </c>
      <c r="D106" s="138">
        <f>60*A106*B106*D78*D80*0.75</f>
        <v>85358.59369961542</v>
      </c>
      <c r="E106" s="139">
        <f t="shared" si="1"/>
        <v>197569.3138142013</v>
      </c>
      <c r="F106" s="138">
        <f>60*A106*D82*D83</f>
        <v>40656</v>
      </c>
      <c r="G106" s="136">
        <f t="shared" si="2"/>
        <v>156913.3138142013</v>
      </c>
      <c r="H106" s="143">
        <f>G106/(G79*G80)</f>
        <v>5.3281261057453753</v>
      </c>
    </row>
    <row r="107" spans="1:8">
      <c r="A107" s="116">
        <v>120</v>
      </c>
      <c r="B107" s="117">
        <f t="shared" si="0"/>
        <v>2.3349273485839648</v>
      </c>
      <c r="C107" s="136">
        <f>60*A107*B107*D78*D79</f>
        <v>291021.36956193665</v>
      </c>
      <c r="D107" s="136">
        <f>60*A107*B107*D78*D80*0.75</f>
        <v>87800.369573404008</v>
      </c>
      <c r="E107" s="140">
        <f t="shared" si="1"/>
        <v>203220.99998853263</v>
      </c>
      <c r="F107" s="136">
        <f>60*A107*D82*D83</f>
        <v>44352</v>
      </c>
      <c r="G107" s="136">
        <f t="shared" si="2"/>
        <v>158868.99998853263</v>
      </c>
      <c r="H107" s="144">
        <f>G107/(G79*G80)</f>
        <v>5.3945331065715658</v>
      </c>
    </row>
    <row r="108" spans="1:8">
      <c r="A108" s="116">
        <v>130</v>
      </c>
      <c r="B108" s="117">
        <f t="shared" si="0"/>
        <v>2.2104845778623639</v>
      </c>
      <c r="C108" s="136">
        <f>60*A108*B108*D78*D79</f>
        <v>298470.28735381254</v>
      </c>
      <c r="D108" s="136">
        <f>60*A108*B108*D78*D80*0.75</f>
        <v>90047.688167337765</v>
      </c>
      <c r="E108" s="140">
        <f t="shared" si="1"/>
        <v>208422.59918647478</v>
      </c>
      <c r="F108" s="136">
        <f>60*A108*D82*D83</f>
        <v>48048</v>
      </c>
      <c r="G108" s="136">
        <f t="shared" si="2"/>
        <v>160374.59918647478</v>
      </c>
      <c r="H108" s="144">
        <f>G108/(G79*G80)</f>
        <v>5.445657018216461</v>
      </c>
    </row>
    <row r="109" spans="1:8">
      <c r="A109" s="116">
        <v>140</v>
      </c>
      <c r="B109" s="117">
        <f t="shared" si="0"/>
        <v>2.1000506917196691</v>
      </c>
      <c r="C109" s="136">
        <f>60*A109*B109*D78*D79</f>
        <v>305371.20007686404</v>
      </c>
      <c r="D109" s="136">
        <f>60*A109*B109*D78*D80*0.75</f>
        <v>92129.675096303734</v>
      </c>
      <c r="E109" s="140">
        <f t="shared" si="1"/>
        <v>213241.52498056029</v>
      </c>
      <c r="F109" s="136">
        <f>60*A109*D82*D83</f>
        <v>51744</v>
      </c>
      <c r="G109" s="136">
        <f t="shared" si="2"/>
        <v>161497.52498056029</v>
      </c>
      <c r="H109" s="144">
        <f>G109/(G79*G80)</f>
        <v>5.4837869263348145</v>
      </c>
    </row>
    <row r="110" spans="1:8">
      <c r="A110" s="116">
        <v>150</v>
      </c>
      <c r="B110" s="117">
        <f t="shared" si="0"/>
        <v>2.0013160366579323</v>
      </c>
      <c r="C110" s="136">
        <f>60*A110*B110*D78*D79</f>
        <v>311800.77951230214</v>
      </c>
      <c r="D110" s="136">
        <f>60*A110*B110*D78*D80*0.75</f>
        <v>94069.462031822506</v>
      </c>
      <c r="E110" s="140">
        <f t="shared" si="1"/>
        <v>217731.31748047963</v>
      </c>
      <c r="F110" s="136">
        <f>60*A110*D82*D83</f>
        <v>55440</v>
      </c>
      <c r="G110" s="136">
        <f t="shared" si="2"/>
        <v>162291.31748047963</v>
      </c>
      <c r="H110" s="144">
        <f>G110/(G79*G80)</f>
        <v>5.5107408312556752</v>
      </c>
    </row>
    <row r="111" spans="1:8">
      <c r="A111" s="116">
        <v>160</v>
      </c>
      <c r="B111" s="117">
        <f t="shared" si="0"/>
        <v>1.9124591109841409</v>
      </c>
      <c r="C111" s="136">
        <f>60*A111*B111*D78*D79</f>
        <v>317820.86356125394</v>
      </c>
      <c r="D111" s="136">
        <f>60*A111*B111*D78*D80*0.75</f>
        <v>95885.705303430193</v>
      </c>
      <c r="E111" s="140">
        <f t="shared" si="1"/>
        <v>221935.15825782373</v>
      </c>
      <c r="F111" s="136">
        <f>60*A111*D82*D83</f>
        <v>59136</v>
      </c>
      <c r="G111" s="136">
        <f t="shared" si="2"/>
        <v>162799.15825782373</v>
      </c>
      <c r="H111" s="144">
        <f>G111/(G79*G80)</f>
        <v>5.5279850002656614</v>
      </c>
    </row>
    <row r="112" spans="1:8">
      <c r="A112" s="116">
        <v>170</v>
      </c>
      <c r="B112" s="117">
        <f t="shared" si="0"/>
        <v>1.8320230926314136</v>
      </c>
      <c r="C112" s="136">
        <f>60*A112*B112*D78*D79</f>
        <v>323482.00565249746</v>
      </c>
      <c r="D112" s="136">
        <f>60*A112*B112*D78*D80*0.75</f>
        <v>97593.656745507877</v>
      </c>
      <c r="E112" s="140">
        <f t="shared" si="1"/>
        <v>225888.34890698959</v>
      </c>
      <c r="F112" s="136">
        <f>60*A112*D82*D83</f>
        <v>62832</v>
      </c>
      <c r="G112" s="136">
        <f t="shared" si="2"/>
        <v>163056.34890698959</v>
      </c>
      <c r="H112" s="144">
        <f>G112/(G79*G80)</f>
        <v>5.5367181292695955</v>
      </c>
    </row>
    <row r="113" spans="1:8">
      <c r="A113" s="116">
        <v>180</v>
      </c>
      <c r="B113" s="117">
        <f t="shared" si="0"/>
        <v>1.7588282185076187</v>
      </c>
      <c r="C113" s="136">
        <f>60*A113*B113*D78*D79</f>
        <v>328826.03217913047</v>
      </c>
      <c r="D113" s="136">
        <f>60*A113*B113*D78*D80*0.75</f>
        <v>99205.935269090987</v>
      </c>
      <c r="E113" s="140">
        <f t="shared" si="1"/>
        <v>229620.09691003949</v>
      </c>
      <c r="F113" s="136">
        <f>60*A113*D82*D83</f>
        <v>66528</v>
      </c>
      <c r="G113" s="136">
        <f t="shared" si="2"/>
        <v>163092.09691003949</v>
      </c>
      <c r="H113" s="144">
        <f>G113/(G79*G80)</f>
        <v>5.537931983362971</v>
      </c>
    </row>
    <row r="114" spans="1:8">
      <c r="A114" s="116">
        <v>190</v>
      </c>
      <c r="B114" s="117">
        <f t="shared" si="0"/>
        <v>1.6919083916976245</v>
      </c>
      <c r="C114" s="136">
        <f>60*A114*B114*D78*D79</f>
        <v>333887.92071167706</v>
      </c>
      <c r="D114" s="136">
        <f>60*A114*B114*D78*D80*0.75</f>
        <v>100733.09351374483</v>
      </c>
      <c r="E114" s="140">
        <f t="shared" si="1"/>
        <v>233154.82719793223</v>
      </c>
      <c r="F114" s="136">
        <f>60*A114*D82*D83</f>
        <v>70224</v>
      </c>
      <c r="G114" s="136">
        <f t="shared" si="2"/>
        <v>162930.82719793223</v>
      </c>
      <c r="H114" s="144">
        <f>G114/(G79*G80)</f>
        <v>5.5324559320180722</v>
      </c>
    </row>
    <row r="115" spans="1:8">
      <c r="A115" s="116">
        <v>200</v>
      </c>
      <c r="B115" s="117">
        <f t="shared" si="0"/>
        <v>1.6304645191581675</v>
      </c>
      <c r="C115" s="136">
        <f>60*A115*B115*D78*D79</f>
        <v>338697.20305952895</v>
      </c>
      <c r="D115" s="136">
        <f>60*A115*B115*D78*D80*0.75</f>
        <v>102184.04114745246</v>
      </c>
      <c r="E115" s="140">
        <f t="shared" si="1"/>
        <v>236513.1619120765</v>
      </c>
      <c r="F115" s="136">
        <f>60*A115*D82*D83</f>
        <v>73920</v>
      </c>
      <c r="G115" s="136">
        <f t="shared" si="2"/>
        <v>162593.1619120765</v>
      </c>
      <c r="H115" s="144">
        <f>G115/(G79*G80)</f>
        <v>5.5209902177275554</v>
      </c>
    </row>
    <row r="116" spans="1:8">
      <c r="A116" s="116">
        <v>225</v>
      </c>
      <c r="B116" s="117">
        <f t="shared" si="0"/>
        <v>1.4966900922639139</v>
      </c>
      <c r="C116" s="136">
        <f>60*A116*B116*D78*D79</f>
        <v>349771.69690465397</v>
      </c>
      <c r="D116" s="136">
        <f>60*A116*B116*D78*D80*0.75</f>
        <v>105525.18634893371</v>
      </c>
      <c r="E116" s="140">
        <f t="shared" si="1"/>
        <v>244246.51055572025</v>
      </c>
      <c r="F116" s="136">
        <f>60*A116*D82*D83</f>
        <v>83160</v>
      </c>
      <c r="G116" s="136">
        <f t="shared" si="2"/>
        <v>161086.51055572025</v>
      </c>
      <c r="H116" s="144">
        <f>G116/(G79*G80)</f>
        <v>5.469830579141604</v>
      </c>
    </row>
    <row r="117" spans="1:8">
      <c r="A117" s="116">
        <v>250</v>
      </c>
      <c r="B117" s="117">
        <f t="shared" si="0"/>
        <v>1.3853432235900891</v>
      </c>
      <c r="C117" s="136">
        <f>60*A117*B117*D78*D79</f>
        <v>359722.54347927769</v>
      </c>
      <c r="D117" s="136">
        <f>60*A117*B117*D78*D80*0.75</f>
        <v>108527.33017134556</v>
      </c>
      <c r="E117" s="140">
        <f t="shared" si="1"/>
        <v>251195.21330793214</v>
      </c>
      <c r="F117" s="136">
        <f>60*A117*D82*D83</f>
        <v>92400</v>
      </c>
      <c r="G117" s="136">
        <f t="shared" si="2"/>
        <v>158795.21330793214</v>
      </c>
      <c r="H117" s="144">
        <f>G117/(G79*G80)</f>
        <v>5.3920276165681544</v>
      </c>
    </row>
    <row r="118" spans="1:8">
      <c r="A118" s="116">
        <v>275</v>
      </c>
      <c r="B118" s="117">
        <f t="shared" si="0"/>
        <v>1.2910710675553607</v>
      </c>
      <c r="C118" s="136">
        <f>60*A118*B118*D78*D79</f>
        <v>368767.89546273102</v>
      </c>
      <c r="D118" s="136">
        <f>60*A118*B118*D78*D80*0.75</f>
        <v>111256.28869512744</v>
      </c>
      <c r="E118" s="140">
        <f t="shared" si="1"/>
        <v>257511.60676760357</v>
      </c>
      <c r="F118" s="136">
        <f>60*A118*D82*D83</f>
        <v>101640</v>
      </c>
      <c r="G118" s="136">
        <f t="shared" si="2"/>
        <v>155871.60676760357</v>
      </c>
      <c r="H118" s="144">
        <f>G118/(G79*G80)</f>
        <v>5.2927540498337375</v>
      </c>
    </row>
    <row r="119" spans="1:8">
      <c r="A119" s="116">
        <v>300</v>
      </c>
      <c r="B119" s="117">
        <f t="shared" si="0"/>
        <v>1.2101188238143006</v>
      </c>
      <c r="C119" s="136">
        <f>60*A119*B119*D78*D79</f>
        <v>377067.87499479827</v>
      </c>
      <c r="D119" s="136">
        <f>60*A119*B119*D78*D80*0.75</f>
        <v>113760.37034199806</v>
      </c>
      <c r="E119" s="140">
        <f t="shared" si="1"/>
        <v>263307.50465280021</v>
      </c>
      <c r="F119" s="136">
        <f>60*A119*D82*D83</f>
        <v>110880</v>
      </c>
      <c r="G119" s="136">
        <f t="shared" si="2"/>
        <v>152427.50465280021</v>
      </c>
      <c r="H119" s="144">
        <f>G119/(G79*G80)</f>
        <v>5.1758066096027235</v>
      </c>
    </row>
    <row r="120" spans="1:8">
      <c r="A120" s="116">
        <v>325</v>
      </c>
      <c r="B120" s="117">
        <f t="shared" si="0"/>
        <v>1.1397709138578951</v>
      </c>
      <c r="C120" s="136">
        <f>60*A120*B120*D78*D79</f>
        <v>384743.4128059604</v>
      </c>
      <c r="D120" s="136">
        <f>60*A120*B120*D78*D80*0.75</f>
        <v>116076.05959021061</v>
      </c>
      <c r="E120" s="140">
        <f t="shared" si="1"/>
        <v>268667.35321574978</v>
      </c>
      <c r="F120" s="136">
        <f>60*A120*D82*D83</f>
        <v>120120</v>
      </c>
      <c r="G120" s="136">
        <f t="shared" si="2"/>
        <v>148547.35321574978</v>
      </c>
      <c r="H120" s="144">
        <f>G120/(G79*G80)</f>
        <v>5.0440527407724884</v>
      </c>
    </row>
    <row r="121" spans="1:8">
      <c r="A121" s="116">
        <v>350</v>
      </c>
      <c r="B121" s="117">
        <f t="shared" si="0"/>
        <v>1.0780122772943121</v>
      </c>
      <c r="C121" s="136">
        <f>60*A121*B121*D78*D79</f>
        <v>391888.0435993073</v>
      </c>
      <c r="D121" s="136">
        <f>60*A121*B121*D78*D80*0.75</f>
        <v>118231.57560975803</v>
      </c>
      <c r="E121" s="140">
        <f t="shared" si="1"/>
        <v>273656.46798954927</v>
      </c>
      <c r="F121" s="136">
        <f>60*A121*D82*D83</f>
        <v>129360</v>
      </c>
      <c r="G121" s="136">
        <f t="shared" si="2"/>
        <v>144296.46798954927</v>
      </c>
      <c r="H121" s="144">
        <f>G121/(G79*G80)</f>
        <v>4.8997102882699242</v>
      </c>
    </row>
    <row r="122" spans="1:8">
      <c r="A122" s="116">
        <v>375</v>
      </c>
      <c r="B122" s="117">
        <f t="shared" si="0"/>
        <v>1.0233145894614668</v>
      </c>
      <c r="C122" s="136">
        <f>60*A122*B122*D78*D79</f>
        <v>398575.58830791095</v>
      </c>
      <c r="D122" s="136">
        <f>60*A122*B122*D78*D80*0.75</f>
        <v>120249.18997889491</v>
      </c>
      <c r="E122" s="140">
        <f t="shared" si="1"/>
        <v>278326.39832901605</v>
      </c>
      <c r="F122" s="136">
        <f>60*A122*D82*D83</f>
        <v>138600</v>
      </c>
      <c r="G122" s="136">
        <f t="shared" si="2"/>
        <v>139726.39832901605</v>
      </c>
      <c r="H122" s="144">
        <f>G122/(G79*G80)</f>
        <v>4.74452965463552</v>
      </c>
    </row>
    <row r="123" spans="1:8">
      <c r="A123" s="116">
        <v>400</v>
      </c>
      <c r="B123" s="117">
        <f t="shared" si="0"/>
        <v>0.97449660798112514</v>
      </c>
      <c r="C123" s="136">
        <f>60*A123*B123*D78*D79</f>
        <v>404865.3271947552</v>
      </c>
      <c r="D123" s="136">
        <f>60*A123*B123*D78*D80*0.75</f>
        <v>122146.78739456375</v>
      </c>
      <c r="E123" s="140">
        <f t="shared" si="1"/>
        <v>282718.53980019141</v>
      </c>
      <c r="F123" s="136">
        <f>60*A123*D82*D83</f>
        <v>147840</v>
      </c>
      <c r="G123" s="136">
        <f t="shared" si="2"/>
        <v>134878.53980019141</v>
      </c>
      <c r="H123" s="144">
        <f>G123/(G79*G80)</f>
        <v>4.5799164618061603</v>
      </c>
    </row>
    <row r="124" spans="1:8">
      <c r="A124" s="116">
        <v>425</v>
      </c>
      <c r="B124" s="117">
        <f t="shared" si="0"/>
        <v>0.93063020996015944</v>
      </c>
      <c r="C124" s="136">
        <f>60*A124*B124*D78*D79</f>
        <v>410805.58434216765</v>
      </c>
      <c r="D124" s="136">
        <f>60*A124*B124*D78*D80*0.75</f>
        <v>123938.94710327842</v>
      </c>
      <c r="E124" s="140">
        <f t="shared" si="1"/>
        <v>286866.63723888923</v>
      </c>
      <c r="F124" s="136">
        <f>60*A124*D82*D83</f>
        <v>157080</v>
      </c>
      <c r="G124" s="136">
        <f t="shared" si="2"/>
        <v>129786.63723888923</v>
      </c>
      <c r="H124" s="144">
        <f>G124/(G79*G80)</f>
        <v>4.4070165446142351</v>
      </c>
    </row>
    <row r="125" spans="1:8">
      <c r="A125" s="116">
        <v>450</v>
      </c>
      <c r="B125" s="117">
        <f t="shared" si="0"/>
        <v>0.89097552830967852</v>
      </c>
      <c r="C125" s="136">
        <f>60*A125*B125*D78*D79</f>
        <v>416436.27367908729</v>
      </c>
      <c r="D125" s="136">
        <f>60*A125*B125*D78*D80*0.75</f>
        <v>125637.71103074786</v>
      </c>
      <c r="E125" s="140">
        <f t="shared" si="1"/>
        <v>290798.56264833943</v>
      </c>
      <c r="F125" s="136">
        <f>60*A125*D82*D83</f>
        <v>166320</v>
      </c>
      <c r="G125" s="136">
        <f t="shared" si="2"/>
        <v>124478.56264833943</v>
      </c>
      <c r="H125" s="144">
        <f>G125/(G79*G80)</f>
        <v>4.2267763208264659</v>
      </c>
    </row>
    <row r="126" spans="1:8">
      <c r="A126" s="116">
        <v>475</v>
      </c>
      <c r="B126" s="117">
        <f t="shared" si="0"/>
        <v>0.85493515658917807</v>
      </c>
      <c r="C126" s="136">
        <f>60*A126*B126*D78*D79</f>
        <v>421790.74703101348</v>
      </c>
      <c r="D126" s="136">
        <f>60*A126*B126*D78*D80*0.75</f>
        <v>127253.14133360749</v>
      </c>
      <c r="E126" s="140">
        <f t="shared" si="1"/>
        <v>294537.60569740599</v>
      </c>
      <c r="F126" s="136">
        <f>60*A126*D82*D83</f>
        <v>175560</v>
      </c>
      <c r="G126" s="136">
        <f t="shared" si="2"/>
        <v>118977.60569740599</v>
      </c>
      <c r="H126" s="144">
        <f>G126/(G79*G80)</f>
        <v>4.0399866111173512</v>
      </c>
    </row>
    <row r="127" spans="1:8">
      <c r="A127" s="116">
        <v>500</v>
      </c>
      <c r="B127" s="117">
        <f t="shared" si="0"/>
        <v>0.82202116672851266</v>
      </c>
      <c r="C127" s="136">
        <f>60*A127*B127*D78*D79</f>
        <v>426897.16144578892</v>
      </c>
      <c r="D127" s="136">
        <f>60*A127*B127*D78*D80*0.75</f>
        <v>128793.73291795445</v>
      </c>
      <c r="E127" s="140">
        <f t="shared" si="1"/>
        <v>298103.42852783448</v>
      </c>
      <c r="F127" s="136">
        <f>60*A127*D82*D83</f>
        <v>184800</v>
      </c>
      <c r="G127" s="136">
        <f t="shared" si="2"/>
        <v>113303.42852783448</v>
      </c>
      <c r="H127" s="144">
        <f>G127/(G79*G80)</f>
        <v>3.8473150603678938</v>
      </c>
    </row>
    <row r="128" spans="1:8">
      <c r="A128" s="109">
        <v>525</v>
      </c>
      <c r="B128" s="108">
        <f t="shared" si="0"/>
        <v>0.79183092980778169</v>
      </c>
      <c r="C128" s="140">
        <f>60*A128*B128*D78*D79</f>
        <v>431779.50819256762</v>
      </c>
      <c r="D128" s="136">
        <f>60*A128*B128*D78*D80*0.75</f>
        <v>130266.7238855866</v>
      </c>
      <c r="E128" s="140">
        <f t="shared" si="1"/>
        <v>301512.78430698102</v>
      </c>
      <c r="F128" s="140">
        <f>60*A128*D82*D83</f>
        <v>194040</v>
      </c>
      <c r="G128" s="136">
        <f t="shared" si="2"/>
        <v>107472.78430698102</v>
      </c>
      <c r="H128" s="145">
        <f>G128/(G79*G80)</f>
        <v>3.6493305367395932</v>
      </c>
    </row>
    <row r="129" spans="1:8">
      <c r="A129" s="109">
        <v>550</v>
      </c>
      <c r="B129" s="108">
        <f t="shared" si="0"/>
        <v>0.76402910624653297</v>
      </c>
      <c r="C129" s="140">
        <f>60*A129*B129*D78*D79</f>
        <v>436458.39901950088</v>
      </c>
      <c r="D129" s="136">
        <f>60*A129*B129*D78*D80*0.75</f>
        <v>131678.33274584563</v>
      </c>
      <c r="E129" s="140">
        <f t="shared" si="1"/>
        <v>304780.06627365528</v>
      </c>
      <c r="F129" s="140">
        <f>60*A129*D82*D83</f>
        <v>203280</v>
      </c>
      <c r="G129" s="136">
        <f t="shared" si="2"/>
        <v>101500.06627365528</v>
      </c>
      <c r="H129" s="145">
        <f>G129/(G79*G80)</f>
        <v>3.4465217749967838</v>
      </c>
    </row>
    <row r="130" spans="1:8">
      <c r="A130" s="109">
        <v>575</v>
      </c>
      <c r="B130" s="108">
        <f t="shared" si="0"/>
        <v>0.73833403750410354</v>
      </c>
      <c r="C130" s="140">
        <f>60*A130*B130*D78*D79</f>
        <v>440951.67521448981</v>
      </c>
      <c r="D130" s="136">
        <f>60*A130*B130*D78*D80*0.75</f>
        <v>133033.94216761852</v>
      </c>
      <c r="E130" s="140">
        <f t="shared" si="1"/>
        <v>307917.73304687126</v>
      </c>
      <c r="F130" s="140">
        <f>60*A130*D82*D83</f>
        <v>212520</v>
      </c>
      <c r="G130" s="136">
        <f t="shared" si="2"/>
        <v>95397.733046871261</v>
      </c>
      <c r="H130" s="145">
        <f>G130/(G79*G80)</f>
        <v>3.2393118182299241</v>
      </c>
    </row>
    <row r="131" spans="1:8">
      <c r="A131" s="109">
        <v>600</v>
      </c>
      <c r="B131" s="108">
        <f t="shared" si="0"/>
        <v>0.71450732903197567</v>
      </c>
      <c r="C131" s="140">
        <f>60*A131*B131*D78*D79</f>
        <v>445274.88528290146</v>
      </c>
      <c r="D131" s="136">
        <f>60*A131*B131*D78*D80*0.75</f>
        <v>134338.24309342809</v>
      </c>
      <c r="E131" s="140">
        <f t="shared" si="1"/>
        <v>310936.64218947338</v>
      </c>
      <c r="F131" s="140">
        <f>60*A131*D82*D83</f>
        <v>221760</v>
      </c>
      <c r="G131" s="136">
        <f t="shared" si="2"/>
        <v>89176.642189473379</v>
      </c>
      <c r="H131" s="145">
        <f>G131/(G79*G80)</f>
        <v>3.0280693442945119</v>
      </c>
    </row>
    <row r="132" spans="1:8">
      <c r="A132" s="109">
        <v>1440</v>
      </c>
      <c r="B132" s="108">
        <f t="shared" si="0"/>
        <v>0.3609324116099325</v>
      </c>
      <c r="C132" s="140">
        <f>60*A132*B132*D78*D79</f>
        <v>539832.01563706191</v>
      </c>
      <c r="D132" s="136">
        <f>60*A132*B132*D78*D80*0.75</f>
        <v>162865.87665996904</v>
      </c>
      <c r="E132" s="140">
        <f t="shared" si="1"/>
        <v>376966.13897709287</v>
      </c>
      <c r="F132" s="140">
        <f>60*A132*D82*D83</f>
        <v>532224</v>
      </c>
      <c r="G132" s="136">
        <f t="shared" si="2"/>
        <v>-155257.86102290713</v>
      </c>
      <c r="H132" s="145">
        <f>G132/(G79*G80)</f>
        <v>-5.2719137868559303</v>
      </c>
    </row>
    <row r="133" spans="1:8">
      <c r="A133" s="109">
        <v>180</v>
      </c>
      <c r="B133" s="108">
        <f t="shared" si="0"/>
        <v>1.7588282185076187</v>
      </c>
      <c r="C133" s="140">
        <f>60*A133*B133*D78*D79</f>
        <v>328826.03217913047</v>
      </c>
      <c r="D133" s="136">
        <f>60*A133*B133*D78*D80*0.75</f>
        <v>99205.935269090987</v>
      </c>
      <c r="E133" s="140">
        <f t="shared" si="1"/>
        <v>229620.09691003949</v>
      </c>
      <c r="F133" s="140">
        <f>60*A133*D82*D83</f>
        <v>66528</v>
      </c>
      <c r="G133" s="136">
        <f t="shared" si="2"/>
        <v>163092.09691003949</v>
      </c>
      <c r="H133" s="145">
        <f>G133/(G79*G80)</f>
        <v>5.537931983362971</v>
      </c>
    </row>
    <row r="134" spans="1:8">
      <c r="A134" s="109">
        <v>180</v>
      </c>
      <c r="B134" s="108">
        <f t="shared" si="0"/>
        <v>1.7588282185076187</v>
      </c>
      <c r="C134" s="140">
        <f>60*A134*B134*D78*D79</f>
        <v>328826.03217913047</v>
      </c>
      <c r="D134" s="136">
        <f>60*A134*B134*D78*D80*0.75</f>
        <v>99205.935269090987</v>
      </c>
      <c r="E134" s="140">
        <f t="shared" si="1"/>
        <v>229620.09691003949</v>
      </c>
      <c r="F134" s="140">
        <f>60*A134*D82*D83</f>
        <v>66528</v>
      </c>
      <c r="G134" s="136">
        <f t="shared" si="2"/>
        <v>163092.09691003949</v>
      </c>
      <c r="H134" s="145">
        <f>G134/(G79*G80)</f>
        <v>5.537931983362971</v>
      </c>
    </row>
    <row r="135" spans="1:8">
      <c r="A135" s="109">
        <v>180</v>
      </c>
      <c r="B135" s="108">
        <f t="shared" si="0"/>
        <v>1.7588282185076187</v>
      </c>
      <c r="C135" s="140">
        <f>60*A135*B135*D78*D79</f>
        <v>328826.03217913047</v>
      </c>
      <c r="D135" s="136">
        <f>60*A135*B135*D78*D80*0.75</f>
        <v>99205.935269090987</v>
      </c>
      <c r="E135" s="140">
        <f t="shared" si="1"/>
        <v>229620.09691003949</v>
      </c>
      <c r="F135" s="140">
        <f>60*A135*D82*D83</f>
        <v>66528</v>
      </c>
      <c r="G135" s="136">
        <f t="shared" si="2"/>
        <v>163092.09691003949</v>
      </c>
      <c r="H135" s="145">
        <f>G135/(G79*G80)</f>
        <v>5.537931983362971</v>
      </c>
    </row>
    <row r="136" spans="1:8">
      <c r="A136" s="109">
        <v>180</v>
      </c>
      <c r="B136" s="108">
        <f t="shared" si="0"/>
        <v>1.7588282185076187</v>
      </c>
      <c r="C136" s="140">
        <f>60*A136*B136*D78*D79</f>
        <v>328826.03217913047</v>
      </c>
      <c r="D136" s="136">
        <f>60*A136*B136*D78*D80*0.75</f>
        <v>99205.935269090987</v>
      </c>
      <c r="E136" s="140">
        <f t="shared" si="1"/>
        <v>229620.09691003949</v>
      </c>
      <c r="F136" s="140">
        <f>60*A136*D82*D83</f>
        <v>66528</v>
      </c>
      <c r="G136" s="136">
        <f t="shared" si="2"/>
        <v>163092.09691003949</v>
      </c>
      <c r="H136" s="145">
        <f>G136/(G79*G80)</f>
        <v>5.537931983362971</v>
      </c>
    </row>
    <row r="137" spans="1:8">
      <c r="A137" s="109">
        <v>180</v>
      </c>
      <c r="B137" s="108">
        <f t="shared" si="0"/>
        <v>1.7588282185076187</v>
      </c>
      <c r="C137" s="140">
        <f>60*A137*B137*D78*D79</f>
        <v>328826.03217913047</v>
      </c>
      <c r="D137" s="136">
        <f>60*A137*B137*D78*D80*0.75</f>
        <v>99205.935269090987</v>
      </c>
      <c r="E137" s="140">
        <f t="shared" si="1"/>
        <v>229620.09691003949</v>
      </c>
      <c r="F137" s="140">
        <f>60*A137*D82*D83</f>
        <v>66528</v>
      </c>
      <c r="G137" s="136">
        <f t="shared" si="2"/>
        <v>163092.09691003949</v>
      </c>
      <c r="H137" s="145">
        <f>G137/(G79*G80)</f>
        <v>5.537931983362971</v>
      </c>
    </row>
    <row r="138" spans="1:8">
      <c r="A138" s="109">
        <v>180</v>
      </c>
      <c r="B138" s="108">
        <f t="shared" si="0"/>
        <v>1.7588282185076187</v>
      </c>
      <c r="C138" s="140">
        <f>60*A138*B138*D78*D79</f>
        <v>328826.03217913047</v>
      </c>
      <c r="D138" s="136">
        <f>60*A138*B138*D78*D80*0.75</f>
        <v>99205.935269090987</v>
      </c>
      <c r="E138" s="140">
        <f t="shared" si="1"/>
        <v>229620.09691003949</v>
      </c>
      <c r="F138" s="140">
        <f>60*A138*D82*D83</f>
        <v>66528</v>
      </c>
      <c r="G138" s="136">
        <f t="shared" si="2"/>
        <v>163092.09691003949</v>
      </c>
      <c r="H138" s="145">
        <f>G138/(G79*G80)</f>
        <v>5.537931983362971</v>
      </c>
    </row>
    <row r="139" spans="1:8">
      <c r="A139" s="109">
        <v>180</v>
      </c>
      <c r="B139" s="108">
        <f t="shared" si="0"/>
        <v>1.7588282185076187</v>
      </c>
      <c r="C139" s="140">
        <f>60*A139*B139*D78*D79</f>
        <v>328826.03217913047</v>
      </c>
      <c r="D139" s="136">
        <f>60*A139*B139*D78*D80*0.75</f>
        <v>99205.935269090987</v>
      </c>
      <c r="E139" s="140">
        <f t="shared" si="1"/>
        <v>229620.09691003949</v>
      </c>
      <c r="F139" s="140">
        <f>60*A139*D82*D83</f>
        <v>66528</v>
      </c>
      <c r="G139" s="136">
        <f t="shared" si="2"/>
        <v>163092.09691003949</v>
      </c>
      <c r="H139" s="145">
        <f>G139/(G79*G80)</f>
        <v>5.537931983362971</v>
      </c>
    </row>
    <row r="140" spans="1:8">
      <c r="A140" s="109">
        <v>180</v>
      </c>
      <c r="B140" s="108">
        <f t="shared" si="0"/>
        <v>1.7588282185076187</v>
      </c>
      <c r="C140" s="140">
        <f>60*A140*B140*D78*D79</f>
        <v>328826.03217913047</v>
      </c>
      <c r="D140" s="136">
        <f>60*A140*B140*D78*D80*0.75</f>
        <v>99205.935269090987</v>
      </c>
      <c r="E140" s="140">
        <f t="shared" si="1"/>
        <v>229620.09691003949</v>
      </c>
      <c r="F140" s="140">
        <f>60*A140*D82*D83</f>
        <v>66528</v>
      </c>
      <c r="G140" s="136">
        <f t="shared" si="2"/>
        <v>163092.09691003949</v>
      </c>
      <c r="H140" s="145">
        <f>G140/(G79*G80)</f>
        <v>5.537931983362971</v>
      </c>
    </row>
    <row r="141" spans="1:8">
      <c r="A141" s="109">
        <v>180</v>
      </c>
      <c r="B141" s="108">
        <f t="shared" si="0"/>
        <v>1.7588282185076187</v>
      </c>
      <c r="C141" s="140">
        <f>60*A141*B141*D78*D79</f>
        <v>328826.03217913047</v>
      </c>
      <c r="D141" s="136">
        <f>60*A141*B141*D78*D80*0.75</f>
        <v>99205.935269090987</v>
      </c>
      <c r="E141" s="140">
        <f t="shared" si="1"/>
        <v>229620.09691003949</v>
      </c>
      <c r="F141" s="140">
        <f>60*A141*D82*D83</f>
        <v>66528</v>
      </c>
      <c r="G141" s="136">
        <f t="shared" si="2"/>
        <v>163092.09691003949</v>
      </c>
      <c r="H141" s="145">
        <f>G141/(G79*G80)</f>
        <v>5.537931983362971</v>
      </c>
    </row>
    <row r="142" spans="1:8">
      <c r="A142" s="109">
        <v>180</v>
      </c>
      <c r="B142" s="108">
        <f t="shared" si="0"/>
        <v>1.7588282185076187</v>
      </c>
      <c r="C142" s="140">
        <f>60*A142*B142*D78*D79</f>
        <v>328826.03217913047</v>
      </c>
      <c r="D142" s="136">
        <f>60*A142*B142*D78*D80*0.75</f>
        <v>99205.935269090987</v>
      </c>
      <c r="E142" s="140">
        <f t="shared" si="1"/>
        <v>229620.09691003949</v>
      </c>
      <c r="F142" s="140">
        <f>60*A142*D82*D83</f>
        <v>66528</v>
      </c>
      <c r="G142" s="136">
        <f t="shared" si="2"/>
        <v>163092.09691003949</v>
      </c>
      <c r="H142" s="145">
        <f>G142/(G79*G80)</f>
        <v>5.537931983362971</v>
      </c>
    </row>
    <row r="143" spans="1:8">
      <c r="A143" s="109">
        <v>180</v>
      </c>
      <c r="B143" s="108">
        <f t="shared" si="0"/>
        <v>1.7588282185076187</v>
      </c>
      <c r="C143" s="140">
        <f>60*A143*B143*D78*D79</f>
        <v>328826.03217913047</v>
      </c>
      <c r="D143" s="136">
        <f>60*A143*B143*D78*D80*0.75</f>
        <v>99205.935269090987</v>
      </c>
      <c r="E143" s="140">
        <f t="shared" si="1"/>
        <v>229620.09691003949</v>
      </c>
      <c r="F143" s="140">
        <f>60*A143*D82*D83</f>
        <v>66528</v>
      </c>
      <c r="G143" s="136">
        <f t="shared" si="2"/>
        <v>163092.09691003949</v>
      </c>
      <c r="H143" s="145">
        <f>G143/(G79*G80)</f>
        <v>5.537931983362971</v>
      </c>
    </row>
    <row r="144" spans="1:8">
      <c r="A144" s="109">
        <v>1440</v>
      </c>
      <c r="B144" s="108">
        <f t="shared" si="0"/>
        <v>0.3609324116099325</v>
      </c>
      <c r="C144" s="140">
        <f>60*A144*B144*D78*D79</f>
        <v>539832.01563706191</v>
      </c>
      <c r="D144" s="136">
        <f>60*A144*B144*D78*D80*0.75</f>
        <v>162865.87665996904</v>
      </c>
      <c r="E144" s="140">
        <f t="shared" si="1"/>
        <v>376966.13897709287</v>
      </c>
      <c r="F144" s="140">
        <f>60*A144*D82*D83</f>
        <v>532224</v>
      </c>
      <c r="G144" s="136">
        <f t="shared" si="2"/>
        <v>-155257.86102290713</v>
      </c>
      <c r="H144" s="145">
        <f>G144/(G79*G80)</f>
        <v>-5.2719137868559303</v>
      </c>
    </row>
  </sheetData>
  <mergeCells count="18">
    <mergeCell ref="D81:H81"/>
    <mergeCell ref="B1:G1"/>
    <mergeCell ref="A2:G2"/>
    <mergeCell ref="A5:G5"/>
    <mergeCell ref="A19:G19"/>
    <mergeCell ref="A20:G20"/>
    <mergeCell ref="A29:G29"/>
    <mergeCell ref="A30:G30"/>
    <mergeCell ref="A3:G3"/>
    <mergeCell ref="A6:G6"/>
    <mergeCell ref="B79:C79"/>
    <mergeCell ref="A76:H76"/>
    <mergeCell ref="C62:G62"/>
    <mergeCell ref="D27:E27"/>
    <mergeCell ref="A43:G43"/>
    <mergeCell ref="A44:G44"/>
    <mergeCell ref="A53:G53"/>
    <mergeCell ref="A60:G60"/>
  </mergeCells>
  <phoneticPr fontId="0" type="noConversion"/>
  <pageMargins left="0.75" right="0.75" top="1" bottom="1" header="0.5" footer="0.5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workbookViewId="0">
      <selection activeCell="A66" sqref="A66"/>
    </sheetView>
  </sheetViews>
  <sheetFormatPr defaultRowHeight="12.75"/>
  <sheetData>
    <row r="1" spans="1:13" ht="13.5" thickBot="1"/>
    <row r="2" spans="1:13">
      <c r="A2" s="91" t="s">
        <v>63</v>
      </c>
      <c r="B2" s="95"/>
      <c r="C2" s="85"/>
      <c r="D2" s="54"/>
      <c r="E2" s="99"/>
      <c r="F2" s="99"/>
      <c r="H2" s="187" t="s">
        <v>64</v>
      </c>
      <c r="I2" s="188"/>
      <c r="J2" s="188"/>
      <c r="K2" s="188"/>
      <c r="L2" s="188"/>
      <c r="M2" s="189"/>
    </row>
    <row r="3" spans="1:13">
      <c r="A3" s="92" t="s">
        <v>65</v>
      </c>
      <c r="B3" s="96"/>
      <c r="C3" s="86"/>
      <c r="D3" s="55"/>
      <c r="E3" s="99"/>
      <c r="F3" s="99"/>
      <c r="H3" s="56" t="s">
        <v>66</v>
      </c>
      <c r="I3" s="57" t="s">
        <v>67</v>
      </c>
      <c r="J3" s="190" t="s">
        <v>68</v>
      </c>
      <c r="K3" s="190"/>
      <c r="L3" s="190"/>
      <c r="M3" s="191"/>
    </row>
    <row r="4" spans="1:13" ht="13.5" thickBot="1">
      <c r="A4" s="90" t="s">
        <v>69</v>
      </c>
      <c r="B4" s="97"/>
      <c r="C4" s="87"/>
      <c r="D4" s="58"/>
      <c r="E4" s="99"/>
      <c r="F4" s="99"/>
      <c r="H4" s="59"/>
      <c r="I4" s="57" t="s">
        <v>70</v>
      </c>
      <c r="J4" s="190" t="s">
        <v>71</v>
      </c>
      <c r="K4" s="190"/>
      <c r="L4" s="190"/>
      <c r="M4" s="191"/>
    </row>
    <row r="5" spans="1:13" ht="13.5" thickBot="1">
      <c r="A5" s="70" t="s">
        <v>104</v>
      </c>
      <c r="B5" s="70"/>
      <c r="H5" s="59"/>
      <c r="I5" s="57" t="s">
        <v>72</v>
      </c>
      <c r="J5" s="192" t="s">
        <v>73</v>
      </c>
      <c r="K5" s="192"/>
      <c r="L5" s="192"/>
      <c r="M5" s="193"/>
    </row>
    <row r="6" spans="1:13" ht="13.5" thickBot="1">
      <c r="A6" s="194" t="s">
        <v>105</v>
      </c>
      <c r="B6" s="195"/>
      <c r="C6" s="195"/>
      <c r="D6" s="195"/>
      <c r="E6" s="196"/>
      <c r="F6" s="197"/>
      <c r="H6" s="60"/>
      <c r="I6" s="61" t="s">
        <v>75</v>
      </c>
      <c r="J6" s="208" t="s">
        <v>76</v>
      </c>
      <c r="K6" s="208"/>
      <c r="L6" s="208"/>
      <c r="M6" s="209"/>
    </row>
    <row r="7" spans="1:13">
      <c r="A7" s="198" t="s">
        <v>106</v>
      </c>
      <c r="B7" s="157"/>
      <c r="C7" s="157"/>
      <c r="D7" s="157"/>
      <c r="E7" s="199"/>
      <c r="F7" s="200"/>
    </row>
    <row r="8" spans="1:13" ht="23.25" thickBot="1">
      <c r="A8" s="101" t="s">
        <v>107</v>
      </c>
      <c r="B8" s="98" t="s">
        <v>111</v>
      </c>
      <c r="C8" s="64" t="s">
        <v>108</v>
      </c>
      <c r="D8" s="100" t="s">
        <v>109</v>
      </c>
      <c r="E8" s="100" t="s">
        <v>112</v>
      </c>
      <c r="F8" s="102" t="s">
        <v>113</v>
      </c>
    </row>
    <row r="9" spans="1:13">
      <c r="A9" s="65">
        <v>5</v>
      </c>
      <c r="B9" s="94">
        <f>2.815*1/(A9/60+0.282)^0.899</f>
        <v>6.9601839710531301</v>
      </c>
      <c r="C9" s="94">
        <f>4.016*1/(A9/60+0.347)^0.826</f>
        <v>8.0588075460187678</v>
      </c>
      <c r="D9" s="94">
        <f>4.611*1/(A9/60+0.346)^0.798</f>
        <v>9.053677589881481</v>
      </c>
      <c r="E9" s="94">
        <f>5.097*1/(A9/60+0.351)^0.783</f>
        <v>9.7926244280308143</v>
      </c>
      <c r="F9" s="94">
        <f>5.487*1/(A9/60+0.334)^0.759</f>
        <v>10.650949043100427</v>
      </c>
    </row>
    <row r="10" spans="1:13">
      <c r="A10" s="62">
        <v>6</v>
      </c>
      <c r="B10" s="94">
        <f t="shared" ref="B10:B66" si="0">2.815*1/(A10/60+0.282)^0.899</f>
        <v>6.6865706227083361</v>
      </c>
      <c r="C10" s="94">
        <f t="shared" ref="C10:C66" si="1">4.016*1/(A10/60+0.347)^0.826</f>
        <v>7.8097960041073913</v>
      </c>
      <c r="D10" s="94">
        <f t="shared" ref="D10:D66" si="2">4.611*1/(A10/60+0.346)^0.798</f>
        <v>8.7826566546955558</v>
      </c>
      <c r="E10" s="94">
        <f t="shared" ref="E10:E66" si="3">5.097*1/(A10/60+0.351)^0.783</f>
        <v>9.5081144624843024</v>
      </c>
      <c r="F10" s="94">
        <f t="shared" ref="F10:F66" si="4">5.487*1/(A10/60+0.334)^0.759</f>
        <v>10.339040951180188</v>
      </c>
    </row>
    <row r="11" spans="1:13">
      <c r="A11" s="62">
        <v>7</v>
      </c>
      <c r="B11" s="94">
        <f t="shared" si="0"/>
        <v>6.434726265659247</v>
      </c>
      <c r="C11" s="94">
        <f t="shared" si="1"/>
        <v>7.577180818098352</v>
      </c>
      <c r="D11" s="94">
        <f t="shared" si="2"/>
        <v>8.5292548187796644</v>
      </c>
      <c r="E11" s="94">
        <f t="shared" si="3"/>
        <v>9.2417543292766435</v>
      </c>
      <c r="F11" s="94">
        <f t="shared" si="4"/>
        <v>10.047515471358871</v>
      </c>
    </row>
    <row r="12" spans="1:13" ht="13.5" thickBot="1">
      <c r="A12" s="62">
        <v>8</v>
      </c>
      <c r="B12" s="94">
        <f t="shared" si="0"/>
        <v>6.2021131783391743</v>
      </c>
      <c r="C12" s="94">
        <f t="shared" si="1"/>
        <v>7.3593492298407623</v>
      </c>
      <c r="D12" s="94">
        <f t="shared" si="2"/>
        <v>8.2917517751306526</v>
      </c>
      <c r="E12" s="94">
        <f t="shared" si="3"/>
        <v>8.9917992027998217</v>
      </c>
      <c r="F12" s="94">
        <f t="shared" si="4"/>
        <v>9.7743581921045717</v>
      </c>
    </row>
    <row r="13" spans="1:13">
      <c r="A13" s="62">
        <v>9</v>
      </c>
      <c r="B13" s="94">
        <f t="shared" si="0"/>
        <v>5.9865761451147605</v>
      </c>
      <c r="C13" s="94">
        <f t="shared" si="1"/>
        <v>7.1548960261875569</v>
      </c>
      <c r="D13" s="94">
        <f t="shared" si="2"/>
        <v>8.0686475332786962</v>
      </c>
      <c r="E13" s="94">
        <f t="shared" si="3"/>
        <v>8.75672465895315</v>
      </c>
      <c r="F13" s="94">
        <f t="shared" si="4"/>
        <v>9.5178165701808997</v>
      </c>
      <c r="H13" s="194" t="s">
        <v>74</v>
      </c>
      <c r="I13" s="195"/>
      <c r="J13" s="195"/>
      <c r="K13" s="195"/>
      <c r="L13" s="210"/>
    </row>
    <row r="14" spans="1:13">
      <c r="A14" s="62">
        <v>10</v>
      </c>
      <c r="B14" s="94">
        <f t="shared" si="0"/>
        <v>5.7862727103344902</v>
      </c>
      <c r="C14" s="94">
        <f t="shared" si="1"/>
        <v>6.9625909450524341</v>
      </c>
      <c r="D14" s="94">
        <f t="shared" si="2"/>
        <v>7.8586279368153358</v>
      </c>
      <c r="E14" s="94">
        <f t="shared" si="3"/>
        <v>8.5351926119981911</v>
      </c>
      <c r="F14" s="94">
        <f t="shared" si="4"/>
        <v>9.2763582719754378</v>
      </c>
      <c r="H14" s="201" t="s">
        <v>110</v>
      </c>
      <c r="I14" s="151"/>
      <c r="J14" s="151"/>
      <c r="K14" s="151"/>
      <c r="L14" s="202"/>
    </row>
    <row r="15" spans="1:13" ht="13.5" thickBot="1">
      <c r="A15" s="62">
        <v>11</v>
      </c>
      <c r="B15" s="94">
        <f t="shared" si="0"/>
        <v>5.5996181963997333</v>
      </c>
      <c r="C15" s="94">
        <f t="shared" si="1"/>
        <v>6.7813520661809399</v>
      </c>
      <c r="D15" s="94">
        <f t="shared" si="2"/>
        <v>7.6605364968059524</v>
      </c>
      <c r="E15" s="94">
        <f t="shared" si="3"/>
        <v>8.3260234174240129</v>
      </c>
      <c r="F15" s="94">
        <f t="shared" si="4"/>
        <v>9.0486372753027009</v>
      </c>
      <c r="H15" s="203"/>
      <c r="I15" s="204"/>
      <c r="J15" s="204"/>
      <c r="K15" s="204"/>
      <c r="L15" s="205"/>
    </row>
    <row r="16" spans="1:13">
      <c r="A16" s="62">
        <v>12</v>
      </c>
      <c r="B16" s="94">
        <f t="shared" si="0"/>
        <v>5.425241957349848</v>
      </c>
      <c r="C16" s="94">
        <f t="shared" si="1"/>
        <v>6.6102239384607815</v>
      </c>
      <c r="D16" s="94">
        <f t="shared" si="2"/>
        <v>7.4733512262483819</v>
      </c>
      <c r="E16" s="94">
        <f t="shared" si="3"/>
        <v>8.1281728713777746</v>
      </c>
      <c r="F16" s="94">
        <f t="shared" si="4"/>
        <v>8.8334660881074907</v>
      </c>
      <c r="H16" s="206" t="s">
        <v>77</v>
      </c>
      <c r="I16" s="207"/>
      <c r="J16" s="74"/>
      <c r="K16" s="82"/>
      <c r="L16" s="75"/>
    </row>
    <row r="17" spans="1:12">
      <c r="A17" s="62">
        <v>13</v>
      </c>
      <c r="B17" s="94">
        <f t="shared" si="0"/>
        <v>5.2619522726592365</v>
      </c>
      <c r="C17" s="94">
        <f t="shared" si="1"/>
        <v>6.4483594852079404</v>
      </c>
      <c r="D17" s="94">
        <f t="shared" si="2"/>
        <v>7.2961654654016908</v>
      </c>
      <c r="E17" s="94">
        <f t="shared" si="3"/>
        <v>7.9407131282671051</v>
      </c>
      <c r="F17" s="94">
        <f t="shared" si="4"/>
        <v>8.6297928279504657</v>
      </c>
      <c r="H17" s="67" t="s">
        <v>78</v>
      </c>
      <c r="I17" s="76"/>
      <c r="J17" s="80"/>
      <c r="K17" s="83"/>
      <c r="L17" s="73" t="s">
        <v>79</v>
      </c>
    </row>
    <row r="18" spans="1:12">
      <c r="A18" s="62">
        <v>14</v>
      </c>
      <c r="B18" s="94">
        <f t="shared" si="0"/>
        <v>5.1087079500997898</v>
      </c>
      <c r="C18" s="94">
        <f t="shared" si="1"/>
        <v>6.2950049448736154</v>
      </c>
      <c r="D18" s="94">
        <f t="shared" si="2"/>
        <v>7.1281719151225014</v>
      </c>
      <c r="E18" s="94">
        <f t="shared" si="3"/>
        <v>7.7628167760415545</v>
      </c>
      <c r="F18" s="94">
        <f t="shared" si="4"/>
        <v>8.4366821935413814</v>
      </c>
      <c r="H18" s="67" t="s">
        <v>80</v>
      </c>
      <c r="I18" s="76"/>
      <c r="J18" s="80"/>
      <c r="K18" s="77"/>
      <c r="L18" s="66" t="s">
        <v>81</v>
      </c>
    </row>
    <row r="19" spans="1:12">
      <c r="A19" s="62">
        <v>15</v>
      </c>
      <c r="B19" s="94">
        <f t="shared" si="0"/>
        <v>4.9645951852061767</v>
      </c>
      <c r="C19" s="94">
        <f t="shared" si="1"/>
        <v>6.1494872672646919</v>
      </c>
      <c r="D19" s="94">
        <f t="shared" si="2"/>
        <v>6.9686492665671613</v>
      </c>
      <c r="E19" s="94">
        <f t="shared" si="3"/>
        <v>7.5937434733191784</v>
      </c>
      <c r="F19" s="94">
        <f t="shared" si="4"/>
        <v>8.2532995748703772</v>
      </c>
      <c r="H19" s="68" t="s">
        <v>82</v>
      </c>
      <c r="I19" s="76"/>
      <c r="J19" s="80"/>
      <c r="K19" s="77"/>
      <c r="L19" s="66"/>
    </row>
    <row r="20" spans="1:12">
      <c r="A20" s="62">
        <v>16</v>
      </c>
      <c r="B20" s="94">
        <f t="shared" si="0"/>
        <v>4.8288085739561115</v>
      </c>
      <c r="C20" s="94">
        <f t="shared" si="1"/>
        <v>6.0112035089334812</v>
      </c>
      <c r="D20" s="94">
        <f t="shared" si="2"/>
        <v>6.8169509457408006</v>
      </c>
      <c r="E20" s="94">
        <f t="shared" si="3"/>
        <v>7.4328286780397965</v>
      </c>
      <c r="F20" s="94">
        <f t="shared" si="4"/>
        <v>8.0788977112657943</v>
      </c>
      <c r="H20" s="67" t="s">
        <v>83</v>
      </c>
      <c r="I20" s="76"/>
      <c r="J20" s="80"/>
      <c r="K20" s="77"/>
      <c r="L20" s="66" t="s">
        <v>84</v>
      </c>
    </row>
    <row r="21" spans="1:12">
      <c r="A21" s="62">
        <v>17</v>
      </c>
      <c r="B21" s="94">
        <f t="shared" si="0"/>
        <v>4.7006354326275108</v>
      </c>
      <c r="C21" s="94">
        <f t="shared" si="1"/>
        <v>5.8796118660498937</v>
      </c>
      <c r="D21" s="94">
        <f t="shared" si="2"/>
        <v>6.6724955910935506</v>
      </c>
      <c r="E21" s="94">
        <f t="shared" si="3"/>
        <v>7.2794740937900286</v>
      </c>
      <c r="F21" s="94">
        <f t="shared" si="4"/>
        <v>7.9128054308606179</v>
      </c>
      <c r="H21" s="67" t="s">
        <v>85</v>
      </c>
      <c r="I21" s="76"/>
      <c r="J21" s="80"/>
      <c r="K21" s="77"/>
      <c r="L21" s="66" t="s">
        <v>86</v>
      </c>
    </row>
    <row r="22" spans="1:12">
      <c r="A22" s="62">
        <v>18</v>
      </c>
      <c r="B22" s="94">
        <f t="shared" si="0"/>
        <v>4.5794427704611689</v>
      </c>
      <c r="C22" s="94">
        <f t="shared" si="1"/>
        <v>5.7542240561549827</v>
      </c>
      <c r="D22" s="94">
        <f t="shared" si="2"/>
        <v>6.534758959386445</v>
      </c>
      <c r="E22" s="94">
        <f t="shared" si="3"/>
        <v>7.1331395346549193</v>
      </c>
      <c r="F22" s="94">
        <f t="shared" si="4"/>
        <v>7.7544181004204269</v>
      </c>
      <c r="H22" s="67" t="s">
        <v>87</v>
      </c>
      <c r="I22" s="76"/>
      <c r="J22" s="80"/>
      <c r="K22" s="77"/>
      <c r="L22" s="66" t="s">
        <v>88</v>
      </c>
    </row>
    <row r="23" spans="1:12">
      <c r="A23" s="62">
        <v>19</v>
      </c>
      <c r="B23" s="94">
        <f t="shared" si="0"/>
        <v>4.4646664048693747</v>
      </c>
      <c r="C23" s="94">
        <f t="shared" si="1"/>
        <v>5.6345988170441395</v>
      </c>
      <c r="D23" s="94">
        <f t="shared" si="2"/>
        <v>6.40326701498305</v>
      </c>
      <c r="E23" s="94">
        <f t="shared" si="3"/>
        <v>6.9933359677341809</v>
      </c>
      <c r="F23" s="94">
        <f t="shared" si="4"/>
        <v>7.6031894884673976</v>
      </c>
      <c r="H23" s="67" t="s">
        <v>89</v>
      </c>
      <c r="I23" s="76"/>
      <c r="J23" s="80"/>
      <c r="K23" s="77"/>
      <c r="L23" s="66" t="s">
        <v>90</v>
      </c>
    </row>
    <row r="24" spans="1:12">
      <c r="A24" s="62">
        <v>20</v>
      </c>
      <c r="B24" s="94">
        <f t="shared" si="0"/>
        <v>4.355801818256781</v>
      </c>
      <c r="C24" s="94">
        <f t="shared" si="1"/>
        <v>5.5203363355583575</v>
      </c>
      <c r="D24" s="94">
        <f t="shared" si="2"/>
        <v>6.2775900046862301</v>
      </c>
      <c r="E24" s="94">
        <f t="shared" si="3"/>
        <v>6.8596195382427494</v>
      </c>
      <c r="F24" s="94">
        <f t="shared" si="4"/>
        <v>7.4586248023814159</v>
      </c>
      <c r="H24" s="67" t="s">
        <v>91</v>
      </c>
      <c r="I24" s="76"/>
      <c r="J24" s="80"/>
      <c r="K24" s="77"/>
      <c r="L24" s="66" t="s">
        <v>92</v>
      </c>
    </row>
    <row r="25" spans="1:12">
      <c r="A25" s="62">
        <v>21</v>
      </c>
      <c r="B25" s="94">
        <f t="shared" si="0"/>
        <v>4.2523964391533866</v>
      </c>
      <c r="C25" s="94">
        <f t="shared" si="1"/>
        <v>5.4110734541736081</v>
      </c>
      <c r="D25" s="94">
        <f t="shared" si="2"/>
        <v>6.1573373572835175</v>
      </c>
      <c r="E25" s="94">
        <f t="shared" si="3"/>
        <v>6.7315864183109708</v>
      </c>
      <c r="F25" s="94">
        <f t="shared" si="4"/>
        <v>7.3202747055434427</v>
      </c>
      <c r="H25" s="78" t="s">
        <v>93</v>
      </c>
      <c r="I25" s="80"/>
      <c r="J25" s="80"/>
      <c r="K25" s="77"/>
      <c r="L25" s="66"/>
    </row>
    <row r="26" spans="1:12">
      <c r="A26" s="62">
        <v>22</v>
      </c>
      <c r="B26" s="94">
        <f t="shared" si="0"/>
        <v>4.1540430948443117</v>
      </c>
      <c r="C26" s="94">
        <f t="shared" si="1"/>
        <v>5.3064795311375397</v>
      </c>
      <c r="D26" s="94">
        <f t="shared" si="2"/>
        <v>6.0421532763678645</v>
      </c>
      <c r="E26" s="94">
        <f t="shared" si="3"/>
        <v>6.6088683493930596</v>
      </c>
      <c r="F26" s="94">
        <f t="shared" si="4"/>
        <v>7.1877301564861664</v>
      </c>
      <c r="H26" s="79" t="s">
        <v>94</v>
      </c>
      <c r="I26" s="80"/>
      <c r="J26" s="80"/>
      <c r="K26" s="77"/>
      <c r="L26" s="66" t="s">
        <v>95</v>
      </c>
    </row>
    <row r="27" spans="1:12">
      <c r="A27" s="62">
        <v>23</v>
      </c>
      <c r="B27" s="94">
        <f t="shared" si="0"/>
        <v>4.0603744327717761</v>
      </c>
      <c r="C27" s="94">
        <f t="shared" si="1"/>
        <v>5.2062528521389533</v>
      </c>
      <c r="D27" s="94">
        <f t="shared" si="2"/>
        <v>5.9317129184780715</v>
      </c>
      <c r="E27" s="94">
        <f t="shared" si="3"/>
        <v>6.4911287712313497</v>
      </c>
      <c r="F27" s="94">
        <f t="shared" si="4"/>
        <v>7.0606179405896246</v>
      </c>
      <c r="H27" s="79" t="s">
        <v>96</v>
      </c>
      <c r="I27" s="80"/>
      <c r="J27" s="80"/>
      <c r="K27" s="77"/>
      <c r="L27" s="66" t="s">
        <v>97</v>
      </c>
    </row>
    <row r="28" spans="1:12">
      <c r="A28" s="62">
        <v>24</v>
      </c>
      <c r="B28" s="94">
        <f t="shared" si="0"/>
        <v>3.9710581471680113</v>
      </c>
      <c r="C28" s="94">
        <f t="shared" si="1"/>
        <v>5.1101175093441338</v>
      </c>
      <c r="D28" s="94">
        <f t="shared" si="2"/>
        <v>5.8257190674550587</v>
      </c>
      <c r="E28" s="94">
        <f t="shared" si="3"/>
        <v>6.3780594488607614</v>
      </c>
      <c r="F28" s="94">
        <f t="shared" si="4"/>
        <v>6.9385967877330712</v>
      </c>
      <c r="H28" s="67" t="s">
        <v>98</v>
      </c>
      <c r="I28" s="80"/>
      <c r="J28" s="80"/>
      <c r="K28" s="77"/>
      <c r="L28" s="66" t="s">
        <v>99</v>
      </c>
    </row>
    <row r="29" spans="1:12">
      <c r="A29" s="62">
        <v>25</v>
      </c>
      <c r="B29" s="94">
        <f t="shared" si="0"/>
        <v>3.8857928782325577</v>
      </c>
      <c r="C29" s="94">
        <f t="shared" si="1"/>
        <v>5.0178206780378671</v>
      </c>
      <c r="D29" s="94">
        <f t="shared" si="2"/>
        <v>5.7238992311292058</v>
      </c>
      <c r="E29" s="94">
        <f t="shared" si="3"/>
        <v>6.2693775241313752</v>
      </c>
      <c r="F29" s="94">
        <f t="shared" si="4"/>
        <v>6.8213539877273917</v>
      </c>
      <c r="H29" s="79" t="s">
        <v>100</v>
      </c>
      <c r="I29" s="80"/>
      <c r="J29" s="80"/>
      <c r="K29" s="77"/>
      <c r="L29" s="66" t="s">
        <v>101</v>
      </c>
    </row>
    <row r="30" spans="1:12" ht="13.5" thickBot="1">
      <c r="A30" s="62">
        <v>26</v>
      </c>
      <c r="B30" s="94">
        <f t="shared" si="0"/>
        <v>3.8043046756169576</v>
      </c>
      <c r="C30" s="94">
        <f t="shared" si="1"/>
        <v>4.92913023279021</v>
      </c>
      <c r="D30" s="94">
        <f t="shared" si="2"/>
        <v>5.6260030988030785</v>
      </c>
      <c r="E30" s="94">
        <f t="shared" si="3"/>
        <v>6.1648229304155215</v>
      </c>
      <c r="F30" s="94">
        <f t="shared" si="4"/>
        <v>6.7086024302526956</v>
      </c>
      <c r="H30" s="81" t="s">
        <v>102</v>
      </c>
      <c r="I30" s="72"/>
      <c r="J30" s="72"/>
      <c r="K30" s="84"/>
      <c r="L30" s="69" t="s">
        <v>103</v>
      </c>
    </row>
    <row r="31" spans="1:12">
      <c r="A31" s="62">
        <v>27</v>
      </c>
      <c r="B31" s="94">
        <f t="shared" si="0"/>
        <v>3.7263439374694527</v>
      </c>
      <c r="C31" s="94">
        <f t="shared" si="1"/>
        <v>4.8438326545929433</v>
      </c>
      <c r="D31" s="94">
        <f t="shared" si="2"/>
        <v>5.5318003080630715</v>
      </c>
      <c r="E31" s="94">
        <f t="shared" si="3"/>
        <v>6.0641561191215656</v>
      </c>
      <c r="F31" s="94">
        <f t="shared" si="4"/>
        <v>6.6000780081442123</v>
      </c>
    </row>
    <row r="32" spans="1:12">
      <c r="A32" s="62">
        <v>28</v>
      </c>
      <c r="B32" s="94">
        <f t="shared" si="0"/>
        <v>3.6516827519163759</v>
      </c>
      <c r="C32" s="94">
        <f t="shared" si="1"/>
        <v>4.7617311882076825</v>
      </c>
      <c r="D32" s="94">
        <f t="shared" si="2"/>
        <v>5.4410784777020007</v>
      </c>
      <c r="E32" s="94">
        <f t="shared" si="3"/>
        <v>5.9671560548059368</v>
      </c>
      <c r="F32" s="94">
        <f t="shared" si="4"/>
        <v>6.4955373327728116</v>
      </c>
    </row>
    <row r="33" spans="1:6">
      <c r="A33" s="62">
        <v>29</v>
      </c>
      <c r="B33" s="94">
        <f t="shared" si="0"/>
        <v>3.5801125804497143</v>
      </c>
      <c r="C33" s="94">
        <f t="shared" si="1"/>
        <v>4.6826442153816439</v>
      </c>
      <c r="D33" s="94">
        <f t="shared" si="2"/>
        <v>5.3536414703216542</v>
      </c>
      <c r="E33" s="94">
        <f t="shared" si="3"/>
        <v>5.8736184424077749</v>
      </c>
      <c r="F33" s="94">
        <f t="shared" si="4"/>
        <v>6.3947557183963459</v>
      </c>
    </row>
    <row r="34" spans="1:6">
      <c r="A34" s="62">
        <v>30</v>
      </c>
      <c r="B34" s="94">
        <f t="shared" si="0"/>
        <v>3.5114422328919797</v>
      </c>
      <c r="C34" s="94">
        <f t="shared" si="1"/>
        <v>4.6064038148852582</v>
      </c>
      <c r="D34" s="94">
        <f t="shared" si="2"/>
        <v>5.2693078537925659</v>
      </c>
      <c r="E34" s="94">
        <f t="shared" si="3"/>
        <v>5.7833541557027015</v>
      </c>
      <c r="F34" s="94">
        <f t="shared" si="4"/>
        <v>6.297525399061235</v>
      </c>
    </row>
    <row r="35" spans="1:6">
      <c r="A35" s="62">
        <v>31</v>
      </c>
      <c r="B35" s="94">
        <f t="shared" si="0"/>
        <v>3.4454960919146558</v>
      </c>
      <c r="C35" s="94">
        <f t="shared" si="1"/>
        <v>4.5328544847199543</v>
      </c>
      <c r="D35" s="94">
        <f t="shared" si="2"/>
        <v>5.187909535401257</v>
      </c>
      <c r="E35" s="94">
        <f t="shared" si="3"/>
        <v>5.6961878407022564</v>
      </c>
      <c r="F35" s="94">
        <f t="shared" si="4"/>
        <v>6.2036539471838603</v>
      </c>
    </row>
    <row r="36" spans="1:6">
      <c r="A36" s="62">
        <v>32</v>
      </c>
      <c r="B36" s="94">
        <f t="shared" si="0"/>
        <v>3.3821125518792297</v>
      </c>
      <c r="C36" s="94">
        <f t="shared" si="1"/>
        <v>4.4618520055031672</v>
      </c>
      <c r="D36" s="94">
        <f t="shared" si="2"/>
        <v>5.1092905463907643</v>
      </c>
      <c r="E36" s="94">
        <f t="shared" si="3"/>
        <v>5.6119566715875457</v>
      </c>
      <c r="F36" s="94">
        <f t="shared" si="4"/>
        <v>6.1129628675549723</v>
      </c>
    </row>
    <row r="37" spans="1:6">
      <c r="A37" s="62">
        <v>33</v>
      </c>
      <c r="B37" s="94">
        <f t="shared" si="0"/>
        <v>3.3211426423503227</v>
      </c>
      <c r="C37" s="94">
        <f t="shared" si="1"/>
        <v>4.3932624270952898</v>
      </c>
      <c r="D37" s="94">
        <f t="shared" si="2"/>
        <v>5.0333059578403825</v>
      </c>
      <c r="E37" s="94">
        <f t="shared" si="3"/>
        <v>5.5305092399988842</v>
      </c>
      <c r="F37" s="94">
        <f t="shared" si="4"/>
        <v>6.0252863443603717</v>
      </c>
    </row>
    <row r="38" spans="1:6">
      <c r="A38" s="62">
        <v>34</v>
      </c>
      <c r="B38" s="94">
        <f t="shared" si="0"/>
        <v>3.262448811234727</v>
      </c>
      <c r="C38" s="94">
        <f t="shared" si="1"/>
        <v>4.3269611630978799</v>
      </c>
      <c r="D38" s="94">
        <f t="shared" si="2"/>
        <v>4.9598209115490395</v>
      </c>
      <c r="E38" s="94">
        <f t="shared" si="3"/>
        <v>5.451704561219695</v>
      </c>
      <c r="F38" s="94">
        <f t="shared" si="4"/>
        <v>5.9404701220356255</v>
      </c>
    </row>
    <row r="39" spans="1:6">
      <c r="A39" s="62">
        <v>35</v>
      </c>
      <c r="B39" s="94">
        <f t="shared" si="0"/>
        <v>3.2059038463144267</v>
      </c>
      <c r="C39" s="94">
        <f t="shared" si="1"/>
        <v>4.2628321800108795</v>
      </c>
      <c r="D39" s="94">
        <f t="shared" si="2"/>
        <v>4.8887097518755214</v>
      </c>
      <c r="E39" s="94">
        <f t="shared" si="3"/>
        <v>5.3754111830828526</v>
      </c>
      <c r="F39" s="94">
        <f t="shared" si="4"/>
        <v>5.8583705034828055</v>
      </c>
    </row>
    <row r="40" spans="1:6">
      <c r="A40" s="62">
        <v>36</v>
      </c>
      <c r="B40" s="94">
        <f t="shared" si="0"/>
        <v>3.1513899171139776</v>
      </c>
      <c r="C40" s="94">
        <f t="shared" si="1"/>
        <v>4.2007672696592548</v>
      </c>
      <c r="D40" s="94">
        <f t="shared" si="2"/>
        <v>4.8198552464221303</v>
      </c>
      <c r="E40" s="94">
        <f t="shared" si="3"/>
        <v>5.3015063853645685</v>
      </c>
      <c r="F40" s="94">
        <f t="shared" si="4"/>
        <v>5.7788534514629459</v>
      </c>
    </row>
    <row r="41" spans="1:6">
      <c r="A41" s="62">
        <v>37</v>
      </c>
      <c r="B41" s="94">
        <f t="shared" si="0"/>
        <v>3.0987977216907807</v>
      </c>
      <c r="C41" s="94">
        <f t="shared" si="1"/>
        <v>4.1406653950434027</v>
      </c>
      <c r="D41" s="94">
        <f t="shared" si="2"/>
        <v>4.75314788508667</v>
      </c>
      <c r="E41" s="94">
        <f t="shared" si="3"/>
        <v>5.2298754590740977</v>
      </c>
      <c r="F41" s="94">
        <f t="shared" si="4"/>
        <v>5.7017937809118084</v>
      </c>
    </row>
    <row r="42" spans="1:6">
      <c r="A42" s="62">
        <v>38</v>
      </c>
      <c r="B42" s="94">
        <f t="shared" si="0"/>
        <v>3.0480257251554956</v>
      </c>
      <c r="C42" s="94">
        <f t="shared" si="1"/>
        <v>4.082432101079676</v>
      </c>
      <c r="D42" s="94">
        <f t="shared" si="2"/>
        <v>4.6884852484002968</v>
      </c>
      <c r="E42" s="94">
        <f t="shared" si="3"/>
        <v>5.1604110564460202</v>
      </c>
      <c r="F42" s="94">
        <f t="shared" si="4"/>
        <v>5.6270744315680146</v>
      </c>
    </row>
    <row r="43" spans="1:6">
      <c r="A43" s="62">
        <v>39</v>
      </c>
      <c r="B43" s="94">
        <f t="shared" si="0"/>
        <v>2.9989794785951136</v>
      </c>
      <c r="C43" s="94">
        <f t="shared" si="1"/>
        <v>4.0259789828154267</v>
      </c>
      <c r="D43" s="94">
        <f t="shared" si="2"/>
        <v>4.62577143725595</v>
      </c>
      <c r="E43" s="94">
        <f t="shared" si="3"/>
        <v>5.0930126036353602</v>
      </c>
      <c r="F43" s="94">
        <f t="shared" si="4"/>
        <v>5.5545858116999849</v>
      </c>
    </row>
    <row r="44" spans="1:6">
      <c r="A44" s="62">
        <v>40</v>
      </c>
      <c r="B44" s="94">
        <f t="shared" si="0"/>
        <v>2.9515710086446023</v>
      </c>
      <c r="C44" s="94">
        <f t="shared" si="1"/>
        <v>3.9712232046586027</v>
      </c>
      <c r="D44" s="94">
        <f t="shared" si="2"/>
        <v>4.5649165571471224</v>
      </c>
      <c r="E44" s="94">
        <f t="shared" si="3"/>
        <v>5.0275857691373744</v>
      </c>
      <c r="F44" s="94">
        <f t="shared" si="4"/>
        <v>5.4842252049113016</v>
      </c>
    </row>
    <row r="45" spans="1:6">
      <c r="A45" s="62">
        <v>41</v>
      </c>
      <c r="B45" s="94">
        <f t="shared" si="0"/>
        <v>2.9057182692844683</v>
      </c>
      <c r="C45" s="94">
        <f t="shared" si="1"/>
        <v>3.9180870649808806</v>
      </c>
      <c r="D45" s="94">
        <f t="shared" si="2"/>
        <v>4.5058362509069063</v>
      </c>
      <c r="E45" s="94">
        <f t="shared" si="3"/>
        <v>4.9640419818305377</v>
      </c>
      <c r="F45" s="94">
        <f t="shared" si="4"/>
        <v>5.4158962330256317</v>
      </c>
    </row>
    <row r="46" spans="1:6">
      <c r="A46" s="62">
        <v>42</v>
      </c>
      <c r="B46" s="94">
        <f t="shared" si="0"/>
        <v>2.8613446485717446</v>
      </c>
      <c r="C46" s="94">
        <f t="shared" si="1"/>
        <v>3.8664976011570871</v>
      </c>
      <c r="D46" s="94">
        <f t="shared" si="2"/>
        <v>4.4484512746852216</v>
      </c>
      <c r="E46" s="94">
        <f t="shared" si="3"/>
        <v>4.9022979932956456</v>
      </c>
      <c r="F46" s="94">
        <f t="shared" si="4"/>
        <v>5.349508368929432</v>
      </c>
    </row>
    <row r="47" spans="1:6">
      <c r="A47" s="62">
        <v>43</v>
      </c>
      <c r="B47" s="94">
        <f t="shared" si="0"/>
        <v>2.8183785239740815</v>
      </c>
      <c r="C47" s="94">
        <f t="shared" si="1"/>
        <v>3.8163862307099063</v>
      </c>
      <c r="D47" s="94">
        <f t="shared" si="2"/>
        <v>4.3926871125467768</v>
      </c>
      <c r="E47" s="94">
        <f t="shared" si="3"/>
        <v>4.8422754797147194</v>
      </c>
      <c r="F47" s="94">
        <f t="shared" si="4"/>
        <v>5.2849764940055888</v>
      </c>
    </row>
    <row r="48" spans="1:6">
      <c r="A48" s="62">
        <v>44</v>
      </c>
      <c r="B48" s="94">
        <f t="shared" si="0"/>
        <v>2.7767528607981204</v>
      </c>
      <c r="C48" s="94">
        <f t="shared" si="1"/>
        <v>3.7676884247525457</v>
      </c>
      <c r="D48" s="94">
        <f t="shared" si="2"/>
        <v>4.3384736256291871</v>
      </c>
      <c r="E48" s="94">
        <f t="shared" si="3"/>
        <v>4.7839006792161971</v>
      </c>
      <c r="F48" s="94">
        <f t="shared" si="4"/>
        <v>5.2222204954426727</v>
      </c>
    </row>
    <row r="49" spans="1:6">
      <c r="A49" s="62">
        <v>45</v>
      </c>
      <c r="B49" s="94">
        <f t="shared" si="0"/>
        <v>2.7364048489066644</v>
      </c>
      <c r="C49" s="94">
        <f t="shared" si="1"/>
        <v>3.720343410375277</v>
      </c>
      <c r="D49" s="94">
        <f t="shared" si="2"/>
        <v>4.2857447322829438</v>
      </c>
      <c r="E49" s="94">
        <f t="shared" si="3"/>
        <v>4.7271040610206772</v>
      </c>
      <c r="F49" s="94">
        <f t="shared" si="4"/>
        <v>5.1611648992680159</v>
      </c>
    </row>
    <row r="50" spans="1:6">
      <c r="A50" s="62">
        <v>46</v>
      </c>
      <c r="B50" s="94">
        <f t="shared" si="0"/>
        <v>2.6972755735229477</v>
      </c>
      <c r="C50" s="94">
        <f t="shared" si="1"/>
        <v>3.6742938990151757</v>
      </c>
      <c r="D50" s="94">
        <f t="shared" si="2"/>
        <v>4.2344381160335667</v>
      </c>
      <c r="E50" s="94">
        <f t="shared" si="3"/>
        <v>4.6718200231653348</v>
      </c>
      <c r="F50" s="94">
        <f t="shared" si="4"/>
        <v>5.1017385354416129</v>
      </c>
    </row>
    <row r="51" spans="1:6">
      <c r="A51" s="62">
        <v>47</v>
      </c>
      <c r="B51" s="94">
        <f t="shared" si="0"/>
        <v>2.6593097164399309</v>
      </c>
      <c r="C51" s="94">
        <f t="shared" si="1"/>
        <v>3.6294858381904502</v>
      </c>
      <c r="D51" s="94">
        <f t="shared" si="2"/>
        <v>4.1844949585704194</v>
      </c>
      <c r="E51" s="94">
        <f t="shared" si="3"/>
        <v>4.6179866159541643</v>
      </c>
      <c r="F51" s="94">
        <f t="shared" si="4"/>
        <v>5.0438742317724667</v>
      </c>
    </row>
    <row r="52" spans="1:6">
      <c r="A52" s="62">
        <v>48</v>
      </c>
      <c r="B52" s="94">
        <f t="shared" si="0"/>
        <v>2.6224552844009597</v>
      </c>
      <c r="C52" s="94">
        <f t="shared" si="1"/>
        <v>3.5858681842789113</v>
      </c>
      <c r="D52" s="94">
        <f t="shared" si="2"/>
        <v>4.1358596952842213</v>
      </c>
      <c r="E52" s="94">
        <f t="shared" si="3"/>
        <v>4.5655452886032233</v>
      </c>
      <c r="F52" s="94">
        <f t="shared" si="4"/>
        <v>4.9875085337890575</v>
      </c>
    </row>
    <row r="53" spans="1:6">
      <c r="A53" s="62">
        <v>49</v>
      </c>
      <c r="B53" s="94">
        <f t="shared" si="0"/>
        <v>2.5866633618058628</v>
      </c>
      <c r="C53" s="94">
        <f t="shared" si="1"/>
        <v>3.5433926942805898</v>
      </c>
      <c r="D53" s="94">
        <f t="shared" si="2"/>
        <v>4.0884797911526558</v>
      </c>
      <c r="E53" s="94">
        <f t="shared" si="3"/>
        <v>4.514440656831658</v>
      </c>
      <c r="F53" s="94">
        <f t="shared" si="4"/>
        <v>4.9325814480184818</v>
      </c>
    </row>
    <row r="54" spans="1:6">
      <c r="A54" s="62">
        <v>50</v>
      </c>
      <c r="B54" s="94">
        <f t="shared" si="0"/>
        <v>2.5518878852327722</v>
      </c>
      <c r="C54" s="94">
        <f t="shared" si="1"/>
        <v>3.5020137347323916</v>
      </c>
      <c r="D54" s="94">
        <f t="shared" si="2"/>
        <v>4.0423055350163581</v>
      </c>
      <c r="E54" s="94">
        <f t="shared" si="3"/>
        <v>4.4646202893960245</v>
      </c>
      <c r="F54" s="94">
        <f t="shared" si="4"/>
        <v>4.8790362064113122</v>
      </c>
    </row>
    <row r="55" spans="1:6">
      <c r="A55" s="62">
        <v>51</v>
      </c>
      <c r="B55" s="94">
        <f t="shared" si="0"/>
        <v>2.5180854375580495</v>
      </c>
      <c r="C55" s="94">
        <f t="shared" si="1"/>
        <v>3.4616881061426166</v>
      </c>
      <c r="D55" s="94">
        <f t="shared" si="2"/>
        <v>3.9972898505006351</v>
      </c>
      <c r="E55" s="94">
        <f t="shared" si="3"/>
        <v>4.4160345117820432</v>
      </c>
      <c r="F55" s="94">
        <f t="shared" si="4"/>
        <v>4.8268190498968124</v>
      </c>
    </row>
    <row r="56" spans="1:6">
      <c r="A56" s="62">
        <v>52</v>
      </c>
      <c r="B56" s="94">
        <f t="shared" si="0"/>
        <v>2.4852150597110398</v>
      </c>
      <c r="C56" s="94">
        <f t="shared" si="1"/>
        <v>3.4223748814887487</v>
      </c>
      <c r="D56" s="94">
        <f t="shared" si="2"/>
        <v>3.9533881220254692</v>
      </c>
      <c r="E56" s="94">
        <f t="shared" si="3"/>
        <v>4.3686362254584274</v>
      </c>
      <c r="F56" s="94">
        <f t="shared" si="4"/>
        <v>4.7758790292705857</v>
      </c>
    </row>
    <row r="57" spans="1:6">
      <c r="A57" s="62">
        <v>53</v>
      </c>
      <c r="B57" s="94">
        <f t="shared" si="0"/>
        <v>2.4532380783223551</v>
      </c>
      <c r="C57" s="94">
        <f t="shared" si="1"/>
        <v>3.3840352574765613</v>
      </c>
      <c r="D57" s="94">
        <f t="shared" si="2"/>
        <v>3.9105580345112987</v>
      </c>
      <c r="E57" s="94">
        <f t="shared" si="3"/>
        <v>4.3223807412653956</v>
      </c>
      <c r="F57" s="94">
        <f t="shared" si="4"/>
        <v>4.7261678218080405</v>
      </c>
    </row>
    <row r="58" spans="1:6">
      <c r="A58" s="62">
        <v>54</v>
      </c>
      <c r="B58" s="94">
        <f t="shared" si="0"/>
        <v>2.4221179477184482</v>
      </c>
      <c r="C58" s="94">
        <f t="shared" si="1"/>
        <v>3.3466324173949045</v>
      </c>
      <c r="D58" s="94">
        <f t="shared" si="2"/>
        <v>3.8687594255334599</v>
      </c>
      <c r="E58" s="94">
        <f t="shared" si="3"/>
        <v>4.2772256256586285</v>
      </c>
      <c r="F58" s="94">
        <f t="shared" si="4"/>
        <v>4.6776395621656874</v>
      </c>
    </row>
    <row r="59" spans="1:6">
      <c r="A59" s="62">
        <v>55</v>
      </c>
      <c r="B59" s="94">
        <f t="shared" si="0"/>
        <v>2.391820104885324</v>
      </c>
      <c r="C59" s="94">
        <f t="shared" si="1"/>
        <v>3.310131404521016</v>
      </c>
      <c r="D59" s="94">
        <f t="shared" si="2"/>
        <v>3.8279541488067732</v>
      </c>
      <c r="E59" s="94">
        <f t="shared" si="3"/>
        <v>4.2331305586605827</v>
      </c>
      <c r="F59" s="94">
        <f>5.487*1/(A59/60+0.334)^0.759</f>
        <v>4.6302506862812596</v>
      </c>
    </row>
    <row r="60" spans="1:6">
      <c r="A60" s="62">
        <v>56</v>
      </c>
      <c r="B60" s="94">
        <f t="shared" si="0"/>
        <v>2.3623118361734976</v>
      </c>
      <c r="C60" s="94">
        <f t="shared" si="1"/>
        <v>3.2744990051377738</v>
      </c>
      <c r="D60" s="94">
        <f t="shared" si="2"/>
        <v>3.7881059479954864</v>
      </c>
      <c r="E60" s="94">
        <f t="shared" si="3"/>
        <v>4.1900572024871723</v>
      </c>
      <c r="F60" s="94">
        <f t="shared" si="4"/>
        <v>4.5839597871153241</v>
      </c>
    </row>
    <row r="61" spans="1:6">
      <c r="A61" s="62">
        <v>57</v>
      </c>
      <c r="B61" s="94">
        <f t="shared" si="0"/>
        <v>2.3335621546476149</v>
      </c>
      <c r="C61" s="94">
        <f t="shared" si="1"/>
        <v>3.2397036403188246</v>
      </c>
      <c r="D61" s="94">
        <f t="shared" si="2"/>
        <v>3.7491803399447305</v>
      </c>
      <c r="E61" s="94">
        <f t="shared" si="3"/>
        <v>4.1479690799208608</v>
      </c>
      <c r="F61" s="94">
        <f t="shared" si="4"/>
        <v>4.5387274811938534</v>
      </c>
    </row>
    <row r="62" spans="1:6">
      <c r="A62" s="62">
        <v>58</v>
      </c>
      <c r="B62" s="94">
        <f t="shared" si="0"/>
        <v>2.3055416870998564</v>
      </c>
      <c r="C62" s="94">
        <f t="shared" si="1"/>
        <v>3.2057152657214134</v>
      </c>
      <c r="D62" s="94">
        <f t="shared" si="2"/>
        <v>3.7111445065192052</v>
      </c>
      <c r="E62" s="94">
        <f t="shared" si="3"/>
        <v>4.1068314615928037</v>
      </c>
      <c r="F62" s="94">
        <f t="shared" si="4"/>
        <v>4.494516285014809</v>
      </c>
    </row>
    <row r="63" spans="1:6">
      <c r="A63" s="62">
        <v>59</v>
      </c>
      <c r="B63" s="94">
        <f t="shared" si="0"/>
        <v>2.2782225698483596</v>
      </c>
      <c r="C63" s="94">
        <f t="shared" si="1"/>
        <v>3.1725052787013555</v>
      </c>
      <c r="D63" s="94">
        <f t="shared" si="2"/>
        <v>3.6739671943145717</v>
      </c>
      <c r="E63" s="94">
        <f t="shared" si="3"/>
        <v>4.0666112614181946</v>
      </c>
      <c r="F63" s="94">
        <f t="shared" si="4"/>
        <v>4.45129050047393</v>
      </c>
    </row>
    <row r="64" spans="1:6" ht="13.5" thickBot="1">
      <c r="A64" s="63">
        <v>60</v>
      </c>
      <c r="B64" s="94">
        <f t="shared" si="0"/>
        <v>2.2515783525321944</v>
      </c>
      <c r="C64" s="94">
        <f t="shared" si="1"/>
        <v>3.1400464321310486</v>
      </c>
      <c r="D64" s="94">
        <f t="shared" si="2"/>
        <v>3.6376186215779986</v>
      </c>
      <c r="E64" s="94">
        <f t="shared" si="3"/>
        <v>4.0272769395016192</v>
      </c>
      <c r="F64" s="94">
        <f t="shared" si="4"/>
        <v>4.4090161085469086</v>
      </c>
    </row>
    <row r="65" spans="1:6">
      <c r="A65" s="111">
        <v>59.13</v>
      </c>
      <c r="B65" s="112">
        <f t="shared" si="0"/>
        <v>2.2747212040278235</v>
      </c>
      <c r="C65" s="112">
        <f t="shared" si="1"/>
        <v>3.168243717238473</v>
      </c>
      <c r="D65" s="112">
        <f t="shared" si="2"/>
        <v>3.6691956329437603</v>
      </c>
      <c r="E65" s="112">
        <f t="shared" si="3"/>
        <v>4.0614483580865794</v>
      </c>
      <c r="F65" s="112">
        <f t="shared" si="4"/>
        <v>4.4457417345654129</v>
      </c>
    </row>
    <row r="66" spans="1:6">
      <c r="A66" s="111">
        <v>1440</v>
      </c>
      <c r="B66" s="112">
        <f t="shared" si="0"/>
        <v>0.15999546551473298</v>
      </c>
      <c r="C66" s="112">
        <f t="shared" si="1"/>
        <v>0.28746816562455535</v>
      </c>
      <c r="D66" s="112">
        <f t="shared" si="2"/>
        <v>0.3609324116099325</v>
      </c>
      <c r="E66" s="112">
        <f t="shared" si="3"/>
        <v>0.41847737099117382</v>
      </c>
      <c r="F66" s="112">
        <f t="shared" si="4"/>
        <v>0.48663003569947605</v>
      </c>
    </row>
  </sheetData>
  <mergeCells count="10">
    <mergeCell ref="H14:L15"/>
    <mergeCell ref="H16:I16"/>
    <mergeCell ref="J6:M6"/>
    <mergeCell ref="H13:L13"/>
    <mergeCell ref="H2:M2"/>
    <mergeCell ref="J3:M3"/>
    <mergeCell ref="J4:M4"/>
    <mergeCell ref="J5:M5"/>
    <mergeCell ref="A6:F6"/>
    <mergeCell ref="A7:F7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25 Year 25% Reduction</vt:lpstr>
      <vt:lpstr>Intensity Calcs</vt:lpstr>
      <vt:lpstr>Sheet3</vt:lpstr>
      <vt:lpstr>'25 Year 25% Reduction'!Print_Area</vt:lpstr>
    </vt:vector>
  </TitlesOfParts>
  <Company>Small Business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Dammon Engineering</dc:creator>
  <cp:lastModifiedBy>David</cp:lastModifiedBy>
  <cp:lastPrinted>2012-09-16T21:30:07Z</cp:lastPrinted>
  <dcterms:created xsi:type="dcterms:W3CDTF">2003-10-02T16:42:24Z</dcterms:created>
  <dcterms:modified xsi:type="dcterms:W3CDTF">2012-09-16T21:40:39Z</dcterms:modified>
</cp:coreProperties>
</file>