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8475" activeTab="1"/>
  </bookViews>
  <sheets>
    <sheet name="original" sheetId="1" r:id="rId1"/>
    <sheet name="inlet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8" i="2" l="1"/>
  <c r="F70" i="2"/>
  <c r="F71" i="2"/>
  <c r="F72" i="2"/>
  <c r="F73" i="2"/>
  <c r="F74" i="2"/>
  <c r="F75" i="2"/>
  <c r="F76" i="2"/>
  <c r="F77" i="2"/>
  <c r="F78" i="2"/>
  <c r="F3" i="2"/>
  <c r="I3" i="2" s="1"/>
  <c r="J3" i="2" s="1"/>
  <c r="F4" i="2"/>
  <c r="I4" i="2" s="1"/>
  <c r="J4" i="2" s="1"/>
  <c r="F5" i="2"/>
  <c r="I5" i="2" s="1"/>
  <c r="J5" i="2" s="1"/>
  <c r="F6" i="2"/>
  <c r="I6" i="2" s="1"/>
  <c r="J6" i="2" s="1"/>
  <c r="F7" i="2"/>
  <c r="I7" i="2" s="1"/>
  <c r="J7" i="2" s="1"/>
  <c r="F8" i="2"/>
  <c r="I8" i="2" s="1"/>
  <c r="J8" i="2" s="1"/>
  <c r="F9" i="2"/>
  <c r="I9" i="2" s="1"/>
  <c r="J9" i="2" s="1"/>
  <c r="F10" i="2"/>
  <c r="I10" i="2" s="1"/>
  <c r="J10" i="2" s="1"/>
  <c r="F11" i="2"/>
  <c r="I11" i="2" s="1"/>
  <c r="J11" i="2" s="1"/>
  <c r="F12" i="2"/>
  <c r="I12" i="2" s="1"/>
  <c r="J12" i="2" s="1"/>
  <c r="F13" i="2"/>
  <c r="I13" i="2" s="1"/>
  <c r="J13" i="2" s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9" i="2"/>
  <c r="F2" i="2"/>
  <c r="B85" i="1"/>
  <c r="H69" i="1"/>
  <c r="G85" i="1"/>
  <c r="G80" i="1"/>
  <c r="B80" i="1"/>
  <c r="G75" i="1"/>
  <c r="B75" i="1"/>
  <c r="C63" i="1"/>
  <c r="H63" i="1"/>
  <c r="H64" i="1" s="1"/>
  <c r="C64" i="1"/>
  <c r="H58" i="1"/>
  <c r="H59" i="1"/>
  <c r="C58" i="1"/>
  <c r="C59" i="1" s="1"/>
  <c r="H53" i="1"/>
  <c r="H54" i="1" s="1"/>
  <c r="C53" i="1"/>
  <c r="C54" i="1" s="1"/>
  <c r="H47" i="1"/>
  <c r="H48" i="1" s="1"/>
  <c r="C47" i="1"/>
  <c r="C48" i="1" s="1"/>
  <c r="H42" i="1"/>
  <c r="H43" i="1" s="1"/>
  <c r="C42" i="1"/>
  <c r="C43" i="1" s="1"/>
  <c r="H37" i="1"/>
  <c r="H38" i="1" s="1"/>
  <c r="C37" i="1"/>
  <c r="C38" i="1" s="1"/>
  <c r="H32" i="1"/>
  <c r="H33" i="1" s="1"/>
  <c r="C32" i="1"/>
  <c r="C33" i="1"/>
  <c r="H27" i="1"/>
  <c r="H28" i="1" s="1"/>
  <c r="H22" i="1"/>
  <c r="H23" i="1" s="1"/>
  <c r="H17" i="1"/>
  <c r="H18" i="1"/>
  <c r="C27" i="1"/>
  <c r="C28" i="1" s="1"/>
  <c r="C22" i="1"/>
  <c r="C23" i="1" s="1"/>
  <c r="C17" i="1"/>
  <c r="C18" i="1" s="1"/>
  <c r="I47" i="2" l="1"/>
  <c r="J47" i="2" s="1"/>
  <c r="K47" i="2" s="1"/>
  <c r="M47" i="2" s="1"/>
  <c r="I31" i="2"/>
  <c r="J31" i="2" s="1"/>
  <c r="K31" i="2" s="1"/>
  <c r="M31" i="2" s="1"/>
  <c r="I75" i="2"/>
  <c r="J75" i="2" s="1"/>
  <c r="K75" i="2" s="1"/>
  <c r="M75" i="2" s="1"/>
  <c r="I54" i="2"/>
  <c r="J54" i="2" s="1"/>
  <c r="K54" i="2" s="1"/>
  <c r="M54" i="2" s="1"/>
  <c r="N54" i="2" s="1"/>
  <c r="I30" i="2"/>
  <c r="J30" i="2" s="1"/>
  <c r="K30" i="2" s="1"/>
  <c r="M30" i="2" s="1"/>
  <c r="I74" i="2"/>
  <c r="J74" i="2" s="1"/>
  <c r="K74" i="2" s="1"/>
  <c r="M74" i="2" s="1"/>
  <c r="I53" i="2"/>
  <c r="J53" i="2" s="1"/>
  <c r="K53" i="2" s="1"/>
  <c r="M53" i="2" s="1"/>
  <c r="I60" i="2"/>
  <c r="J60" i="2" s="1"/>
  <c r="K60" i="2" s="1"/>
  <c r="M60" i="2" s="1"/>
  <c r="O60" i="2" s="1"/>
  <c r="I44" i="2"/>
  <c r="J44" i="2" s="1"/>
  <c r="K44" i="2" s="1"/>
  <c r="I67" i="2"/>
  <c r="J67" i="2" s="1"/>
  <c r="K67" i="2" s="1"/>
  <c r="I51" i="2"/>
  <c r="J51" i="2" s="1"/>
  <c r="K51" i="2" s="1"/>
  <c r="I71" i="2"/>
  <c r="J71" i="2" s="1"/>
  <c r="K71" i="2" s="1"/>
  <c r="M71" i="2" s="1"/>
  <c r="I58" i="2"/>
  <c r="J58" i="2" s="1"/>
  <c r="K58" i="2" s="1"/>
  <c r="M58" i="2" s="1"/>
  <c r="I50" i="2"/>
  <c r="J50" i="2" s="1"/>
  <c r="K50" i="2" s="1"/>
  <c r="I34" i="2"/>
  <c r="J34" i="2" s="1"/>
  <c r="K34" i="2" s="1"/>
  <c r="M34" i="2" s="1"/>
  <c r="I26" i="2"/>
  <c r="J26" i="2" s="1"/>
  <c r="K26" i="2" s="1"/>
  <c r="I78" i="2"/>
  <c r="J78" i="2" s="1"/>
  <c r="K78" i="2" s="1"/>
  <c r="M78" i="2" s="1"/>
  <c r="I57" i="2"/>
  <c r="J57" i="2" s="1"/>
  <c r="K57" i="2" s="1"/>
  <c r="I49" i="2"/>
  <c r="J49" i="2" s="1"/>
  <c r="K49" i="2" s="1"/>
  <c r="M49" i="2" s="1"/>
  <c r="I41" i="2"/>
  <c r="J41" i="2" s="1"/>
  <c r="K41" i="2" s="1"/>
  <c r="M41" i="2" s="1"/>
  <c r="O41" i="2" s="1"/>
  <c r="I33" i="2"/>
  <c r="J33" i="2" s="1"/>
  <c r="K33" i="2" s="1"/>
  <c r="I25" i="2"/>
  <c r="J25" i="2" s="1"/>
  <c r="K25" i="2" s="1"/>
  <c r="M25" i="2" s="1"/>
  <c r="I17" i="2"/>
  <c r="J17" i="2" s="1"/>
  <c r="K17" i="2" s="1"/>
  <c r="M17" i="2" s="1"/>
  <c r="I77" i="2"/>
  <c r="J77" i="2" s="1"/>
  <c r="K77" i="2" s="1"/>
  <c r="M77" i="2" s="1"/>
  <c r="I68" i="2"/>
  <c r="J68" i="2" s="1"/>
  <c r="K68" i="2" s="1"/>
  <c r="M68" i="2" s="1"/>
  <c r="I64" i="2"/>
  <c r="J64" i="2" s="1"/>
  <c r="K64" i="2" s="1"/>
  <c r="M64" i="2" s="1"/>
  <c r="I56" i="2"/>
  <c r="J56" i="2" s="1"/>
  <c r="K56" i="2" s="1"/>
  <c r="I48" i="2"/>
  <c r="J48" i="2" s="1"/>
  <c r="K48" i="2" s="1"/>
  <c r="M48" i="2" s="1"/>
  <c r="I40" i="2"/>
  <c r="J40" i="2" s="1"/>
  <c r="K40" i="2" s="1"/>
  <c r="M40" i="2" s="1"/>
  <c r="I32" i="2"/>
  <c r="J32" i="2" s="1"/>
  <c r="K32" i="2" s="1"/>
  <c r="I24" i="2"/>
  <c r="J24" i="2" s="1"/>
  <c r="K24" i="2" s="1"/>
  <c r="M24" i="2" s="1"/>
  <c r="I16" i="2"/>
  <c r="J16" i="2" s="1"/>
  <c r="K16" i="2" s="1"/>
  <c r="M16" i="2" s="1"/>
  <c r="N16" i="2" s="1"/>
  <c r="I76" i="2"/>
  <c r="J76" i="2" s="1"/>
  <c r="K76" i="2" s="1"/>
  <c r="M76" i="2" s="1"/>
  <c r="I63" i="2"/>
  <c r="J63" i="2" s="1"/>
  <c r="K63" i="2" s="1"/>
  <c r="I39" i="2"/>
  <c r="J39" i="2" s="1"/>
  <c r="K39" i="2" s="1"/>
  <c r="I23" i="2"/>
  <c r="J23" i="2" s="1"/>
  <c r="K23" i="2" s="1"/>
  <c r="M23" i="2" s="1"/>
  <c r="N23" i="2" s="1"/>
  <c r="I62" i="2"/>
  <c r="J62" i="2" s="1"/>
  <c r="K62" i="2" s="1"/>
  <c r="I38" i="2"/>
  <c r="J38" i="2" s="1"/>
  <c r="K38" i="2" s="1"/>
  <c r="I22" i="2"/>
  <c r="J22" i="2" s="1"/>
  <c r="K22" i="2" s="1"/>
  <c r="M22" i="2" s="1"/>
  <c r="I21" i="2"/>
  <c r="J21" i="2" s="1"/>
  <c r="K21" i="2" s="1"/>
  <c r="I46" i="2"/>
  <c r="J46" i="2" s="1"/>
  <c r="K46" i="2" s="1"/>
  <c r="M46" i="2" s="1"/>
  <c r="I14" i="2"/>
  <c r="J14" i="2" s="1"/>
  <c r="K14" i="2" s="1"/>
  <c r="I69" i="2"/>
  <c r="J69" i="2" s="1"/>
  <c r="K69" i="2" s="1"/>
  <c r="M69" i="2" s="1"/>
  <c r="I52" i="2"/>
  <c r="J52" i="2" s="1"/>
  <c r="K52" i="2" s="1"/>
  <c r="M52" i="2" s="1"/>
  <c r="I36" i="2"/>
  <c r="J36" i="2" s="1"/>
  <c r="K36" i="2" s="1"/>
  <c r="M36" i="2" s="1"/>
  <c r="I28" i="2"/>
  <c r="J28" i="2" s="1"/>
  <c r="K28" i="2" s="1"/>
  <c r="M28" i="2" s="1"/>
  <c r="I20" i="2"/>
  <c r="J20" i="2" s="1"/>
  <c r="K20" i="2" s="1"/>
  <c r="I72" i="2"/>
  <c r="J72" i="2" s="1"/>
  <c r="K72" i="2" s="1"/>
  <c r="M72" i="2" s="1"/>
  <c r="I59" i="2"/>
  <c r="J59" i="2" s="1"/>
  <c r="K59" i="2" s="1"/>
  <c r="M59" i="2" s="1"/>
  <c r="I43" i="2"/>
  <c r="J43" i="2" s="1"/>
  <c r="K43" i="2" s="1"/>
  <c r="M43" i="2" s="1"/>
  <c r="I35" i="2"/>
  <c r="J35" i="2" s="1"/>
  <c r="K35" i="2" s="1"/>
  <c r="M35" i="2" s="1"/>
  <c r="I27" i="2"/>
  <c r="J27" i="2" s="1"/>
  <c r="K27" i="2" s="1"/>
  <c r="I19" i="2"/>
  <c r="J19" i="2" s="1"/>
  <c r="K19" i="2" s="1"/>
  <c r="M19" i="2" s="1"/>
  <c r="I66" i="2"/>
  <c r="J66" i="2" s="1"/>
  <c r="K66" i="2" s="1"/>
  <c r="I42" i="2"/>
  <c r="J42" i="2" s="1"/>
  <c r="K42" i="2" s="1"/>
  <c r="M42" i="2" s="1"/>
  <c r="I18" i="2"/>
  <c r="J18" i="2" s="1"/>
  <c r="K18" i="2" s="1"/>
  <c r="M18" i="2" s="1"/>
  <c r="O18" i="2" s="1"/>
  <c r="I70" i="2"/>
  <c r="J70" i="2" s="1"/>
  <c r="K70" i="2" s="1"/>
  <c r="M70" i="2" s="1"/>
  <c r="O78" i="2" s="1"/>
  <c r="I55" i="2"/>
  <c r="J55" i="2" s="1"/>
  <c r="K55" i="2" s="1"/>
  <c r="M55" i="2" s="1"/>
  <c r="I15" i="2"/>
  <c r="J15" i="2" s="1"/>
  <c r="K15" i="2" s="1"/>
  <c r="I61" i="2"/>
  <c r="J61" i="2" s="1"/>
  <c r="K61" i="2" s="1"/>
  <c r="M61" i="2" s="1"/>
  <c r="N61" i="2" s="1"/>
  <c r="I45" i="2"/>
  <c r="J45" i="2" s="1"/>
  <c r="K45" i="2" s="1"/>
  <c r="I37" i="2"/>
  <c r="J37" i="2" s="1"/>
  <c r="K37" i="2" s="1"/>
  <c r="M37" i="2" s="1"/>
  <c r="I29" i="2"/>
  <c r="J29" i="2" s="1"/>
  <c r="K29" i="2" s="1"/>
  <c r="M29" i="2" s="1"/>
  <c r="I73" i="2"/>
  <c r="J73" i="2" s="1"/>
  <c r="K73" i="2" s="1"/>
  <c r="M73" i="2" s="1"/>
  <c r="I65" i="2"/>
  <c r="J65" i="2" s="1"/>
  <c r="K65" i="2" s="1"/>
  <c r="M65" i="2" s="1"/>
  <c r="K4" i="2"/>
  <c r="K9" i="2"/>
  <c r="K8" i="2"/>
  <c r="K7" i="2"/>
  <c r="M7" i="2" s="1"/>
  <c r="K12" i="2"/>
  <c r="M12" i="2" s="1"/>
  <c r="K11" i="2"/>
  <c r="M11" i="2" s="1"/>
  <c r="K3" i="2"/>
  <c r="M3" i="2" s="1"/>
  <c r="K5" i="2"/>
  <c r="K10" i="2"/>
  <c r="M10" i="2" s="1"/>
  <c r="K6" i="2"/>
  <c r="M6" i="2" s="1"/>
  <c r="I2" i="2"/>
  <c r="J2" i="2" s="1"/>
  <c r="K2" i="2" s="1"/>
  <c r="M2" i="2" s="1"/>
  <c r="K13" i="2"/>
  <c r="M13" i="2" s="1"/>
  <c r="O38" i="2"/>
  <c r="N38" i="2"/>
  <c r="N66" i="2"/>
  <c r="O66" i="2"/>
  <c r="O14" i="2"/>
  <c r="N14" i="2"/>
  <c r="N32" i="2"/>
  <c r="O32" i="2"/>
  <c r="N50" i="2"/>
  <c r="O50" i="2"/>
  <c r="O62" i="2"/>
  <c r="N62" i="2"/>
  <c r="N26" i="2"/>
  <c r="O26" i="2"/>
  <c r="N56" i="2"/>
  <c r="O56" i="2"/>
  <c r="N8" i="2"/>
  <c r="O8" i="2"/>
  <c r="O44" i="2"/>
  <c r="N44" i="2"/>
  <c r="O20" i="2"/>
  <c r="N20" i="2"/>
  <c r="O4" i="2"/>
  <c r="N4" i="2"/>
  <c r="H88" i="1"/>
  <c r="F90" i="1" s="1"/>
  <c r="H67" i="1"/>
  <c r="M27" i="2" l="1"/>
  <c r="N27" i="2" s="1"/>
  <c r="M57" i="2"/>
  <c r="N57" i="2" s="1"/>
  <c r="N52" i="2"/>
  <c r="O52" i="2"/>
  <c r="O48" i="2"/>
  <c r="N48" i="2"/>
  <c r="M51" i="2"/>
  <c r="N51" i="2" s="1"/>
  <c r="M45" i="2"/>
  <c r="O45" i="2" s="1"/>
  <c r="M67" i="2"/>
  <c r="O67" i="2" s="1"/>
  <c r="O55" i="2"/>
  <c r="N55" i="2"/>
  <c r="O36" i="2"/>
  <c r="N36" i="2"/>
  <c r="O22" i="2"/>
  <c r="N22" i="2"/>
  <c r="O64" i="2"/>
  <c r="N64" i="2"/>
  <c r="O58" i="2"/>
  <c r="N58" i="2"/>
  <c r="O53" i="2"/>
  <c r="N53" i="2"/>
  <c r="O35" i="2"/>
  <c r="N35" i="2"/>
  <c r="O68" i="2"/>
  <c r="N68" i="2"/>
  <c r="N49" i="2"/>
  <c r="O49" i="2"/>
  <c r="O29" i="2"/>
  <c r="N29" i="2"/>
  <c r="O43" i="2"/>
  <c r="N43" i="2"/>
  <c r="N24" i="2"/>
  <c r="O24" i="2"/>
  <c r="N30" i="2"/>
  <c r="O30" i="2"/>
  <c r="O37" i="2"/>
  <c r="N37" i="2"/>
  <c r="N59" i="2"/>
  <c r="O59" i="2"/>
  <c r="O69" i="2"/>
  <c r="N69" i="2"/>
  <c r="N42" i="2"/>
  <c r="O42" i="2"/>
  <c r="N40" i="2"/>
  <c r="O40" i="2"/>
  <c r="O17" i="2"/>
  <c r="N17" i="2"/>
  <c r="N46" i="2"/>
  <c r="O46" i="2"/>
  <c r="M39" i="2"/>
  <c r="O39" i="2" s="1"/>
  <c r="O25" i="2"/>
  <c r="N25" i="2"/>
  <c r="N19" i="2"/>
  <c r="O19" i="2"/>
  <c r="M63" i="2"/>
  <c r="N63" i="2" s="1"/>
  <c r="M33" i="2"/>
  <c r="N33" i="2" s="1"/>
  <c r="O34" i="2"/>
  <c r="N34" i="2"/>
  <c r="N31" i="2"/>
  <c r="O31" i="2"/>
  <c r="O65" i="2"/>
  <c r="N65" i="2"/>
  <c r="M15" i="2"/>
  <c r="N15" i="2" s="1"/>
  <c r="N28" i="2"/>
  <c r="O28" i="2"/>
  <c r="M21" i="2"/>
  <c r="N21" i="2" s="1"/>
  <c r="O47" i="2"/>
  <c r="N47" i="2"/>
  <c r="N18" i="2"/>
  <c r="O54" i="2"/>
  <c r="N60" i="2"/>
  <c r="N41" i="2"/>
  <c r="O23" i="2"/>
  <c r="O61" i="2"/>
  <c r="O16" i="2"/>
  <c r="O12" i="2"/>
  <c r="N12" i="2"/>
  <c r="N13" i="2"/>
  <c r="O13" i="2"/>
  <c r="N7" i="2"/>
  <c r="O7" i="2"/>
  <c r="O2" i="2"/>
  <c r="N2" i="2"/>
  <c r="O6" i="2"/>
  <c r="N6" i="2"/>
  <c r="M9" i="2"/>
  <c r="N9" i="2" s="1"/>
  <c r="O10" i="2"/>
  <c r="N10" i="2"/>
  <c r="M5" i="2"/>
  <c r="O5" i="2" s="1"/>
  <c r="N3" i="2"/>
  <c r="O3" i="2"/>
  <c r="O11" i="2"/>
  <c r="N11" i="2"/>
  <c r="F100" i="1"/>
  <c r="C118" i="1" s="1"/>
  <c r="O57" i="2" l="1"/>
  <c r="O27" i="2"/>
  <c r="O33" i="2"/>
  <c r="N67" i="2"/>
  <c r="O51" i="2"/>
  <c r="N45" i="2"/>
  <c r="O21" i="2"/>
  <c r="O15" i="2"/>
  <c r="O63" i="2"/>
  <c r="N39" i="2"/>
  <c r="O9" i="2"/>
  <c r="N5" i="2"/>
  <c r="M79" i="2"/>
</calcChain>
</file>

<file path=xl/sharedStrings.xml><?xml version="1.0" encoding="utf-8"?>
<sst xmlns="http://schemas.openxmlformats.org/spreadsheetml/2006/main" count="243" uniqueCount="99">
  <si>
    <t>Runoff Flow using Rational Method</t>
  </si>
  <si>
    <t>Q=CiA</t>
  </si>
  <si>
    <t>where,</t>
  </si>
  <si>
    <t>Q=</t>
  </si>
  <si>
    <t>i=</t>
  </si>
  <si>
    <t>A=</t>
  </si>
  <si>
    <t>cfs</t>
  </si>
  <si>
    <t>Runoff Coefficient</t>
  </si>
  <si>
    <t>C=</t>
  </si>
  <si>
    <t>Intensity, in/hr</t>
  </si>
  <si>
    <t>Area, acres</t>
  </si>
  <si>
    <t>115x70 Lots</t>
  </si>
  <si>
    <t>Number of Lots</t>
  </si>
  <si>
    <t>Area per Lot</t>
  </si>
  <si>
    <t>acre</t>
  </si>
  <si>
    <t>Total Area</t>
  </si>
  <si>
    <t>115x75 Lots</t>
  </si>
  <si>
    <t>107x70 Lots</t>
  </si>
  <si>
    <t>107x75 Lots</t>
  </si>
  <si>
    <t>192.40x70 Lot</t>
  </si>
  <si>
    <t>115x95 Lot</t>
  </si>
  <si>
    <t>193.01x75 Lots</t>
  </si>
  <si>
    <t>192.58x75 Lots</t>
  </si>
  <si>
    <t>115x100.87 Lot</t>
  </si>
  <si>
    <t>115x75.88 Lots</t>
  </si>
  <si>
    <t>115x75.87 Lots</t>
  </si>
  <si>
    <t>107x75.87 Lots</t>
  </si>
  <si>
    <t>107x75.88 Lots</t>
  </si>
  <si>
    <t>193.16x75 Lot</t>
  </si>
  <si>
    <t>192.81x87.87 Lot</t>
  </si>
  <si>
    <t>192.76x78 Lot</t>
  </si>
  <si>
    <t>130x70 Lot</t>
  </si>
  <si>
    <t>130x85Lot</t>
  </si>
  <si>
    <t>130x84Lot</t>
  </si>
  <si>
    <t>Lots Area Calculation</t>
  </si>
  <si>
    <t>Total Lot Area=</t>
  </si>
  <si>
    <t>Roads Area Calculation</t>
  </si>
  <si>
    <t>North Monz Avenue</t>
  </si>
  <si>
    <t>Length=</t>
  </si>
  <si>
    <t>Width=*</t>
  </si>
  <si>
    <t>Total Area=</t>
  </si>
  <si>
    <t>feet</t>
  </si>
  <si>
    <t>North Ezidore Avenue</t>
  </si>
  <si>
    <t>North Millet Avenue</t>
  </si>
  <si>
    <t>East Sixth Street</t>
  </si>
  <si>
    <t>East Eighth Street</t>
  </si>
  <si>
    <t>East Seventh Street</t>
  </si>
  <si>
    <t>Total Roads Area=</t>
  </si>
  <si>
    <t>82.26x84 Lot</t>
  </si>
  <si>
    <t>Total Number of Lots=</t>
  </si>
  <si>
    <t>lots</t>
  </si>
  <si>
    <t>Total Subdivision Area=</t>
  </si>
  <si>
    <t>Total Area Calculation</t>
  </si>
  <si>
    <t>Residential (Suburban)</t>
  </si>
  <si>
    <t>Asphalt or Concrete</t>
  </si>
  <si>
    <t>*An average width of 24' was used for the calculations.</t>
  </si>
  <si>
    <t>Weighted Runoff Coefficient Calculation</t>
  </si>
  <si>
    <t>Weighted C=</t>
  </si>
  <si>
    <t>Rainfall Intensity</t>
  </si>
  <si>
    <t>Will need to look at IDF curves and critical time in order to calculate an intensity for the area.</t>
  </si>
  <si>
    <t>Runoff Rate Calculation</t>
  </si>
  <si>
    <t>in/hr</t>
  </si>
  <si>
    <t>i=*</t>
  </si>
  <si>
    <t>*Assumed value for now</t>
  </si>
  <si>
    <t>AREA #</t>
  </si>
  <si>
    <t>Road area (ac)</t>
  </si>
  <si>
    <t>Lot Area (ac)</t>
  </si>
  <si>
    <t>Composite C</t>
  </si>
  <si>
    <t>C roadway</t>
  </si>
  <si>
    <t>C residential</t>
  </si>
  <si>
    <t>8A</t>
  </si>
  <si>
    <t>8B</t>
  </si>
  <si>
    <t>12A</t>
  </si>
  <si>
    <t>13A</t>
  </si>
  <si>
    <t>16A</t>
  </si>
  <si>
    <t>16B</t>
  </si>
  <si>
    <t>20A</t>
  </si>
  <si>
    <t>20B</t>
  </si>
  <si>
    <t>21A</t>
  </si>
  <si>
    <t>24A</t>
  </si>
  <si>
    <t>29A</t>
  </si>
  <si>
    <t>30A</t>
  </si>
  <si>
    <t>33A</t>
  </si>
  <si>
    <t>38A</t>
  </si>
  <si>
    <t>39A</t>
  </si>
  <si>
    <t>42A</t>
  </si>
  <si>
    <t>51A</t>
  </si>
  <si>
    <t>CENTRAL CANAL</t>
  </si>
  <si>
    <t>Q Per Inlet (cfs)</t>
  </si>
  <si>
    <r>
      <rPr>
        <sz val="11"/>
        <color theme="1"/>
        <rFont val="GreekC"/>
      </rPr>
      <t>Σ</t>
    </r>
    <r>
      <rPr>
        <sz val="11"/>
        <color theme="1"/>
        <rFont val="Calibri"/>
        <family val="2"/>
      </rPr>
      <t xml:space="preserve"> to canal from lot</t>
    </r>
  </si>
  <si>
    <t>Total Q (cfs) =</t>
  </si>
  <si>
    <t>Depth of ponding at grate (partially clogged; 50% clear)(ft)</t>
  </si>
  <si>
    <t>Depth of ponding at grate (unclogged; 50% clear)(ft)</t>
  </si>
  <si>
    <t xml:space="preserve"> Hydraulic Length</t>
  </si>
  <si>
    <t>Length of Drainage Basin (ft)</t>
  </si>
  <si>
    <t>TC (min) per drainage area</t>
  </si>
  <si>
    <t>I (in/hr) per drainage area</t>
  </si>
  <si>
    <t>Q (cfs) per drainage AREA</t>
  </si>
  <si>
    <t>Inlet accepting runoff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</si>
</sst>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GreekC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0" fontId="0" fillId="0" borderId="0" xfId="0" applyAlignment="1">
      <alignment horizontal="right"/>
    </xf>
    <xf numFmtId="2" fontId="0" fillId="0" borderId="2" xfId="0" applyNumberFormat="1" applyFont="1" applyBorder="1" applyAlignment="1">
      <alignment horizontal="center"/>
    </xf>
    <xf numFmtId="0" fontId="0" fillId="0" borderId="3" xfId="0" applyFont="1" applyBorder="1"/>
    <xf numFmtId="2" fontId="1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2" fontId="3" fillId="0" borderId="2" xfId="0" applyNumberFormat="1" applyFont="1" applyBorder="1" applyAlignment="1">
      <alignment horizontal="center"/>
    </xf>
    <xf numFmtId="0" fontId="2" fillId="0" borderId="3" xfId="0" applyFont="1" applyBorder="1"/>
    <xf numFmtId="0" fontId="1" fillId="0" borderId="4" xfId="0" applyFont="1" applyBorder="1"/>
    <xf numFmtId="0" fontId="5" fillId="0" borderId="4" xfId="0" applyFont="1" applyBorder="1"/>
    <xf numFmtId="0" fontId="0" fillId="0" borderId="4" xfId="0" applyBorder="1"/>
    <xf numFmtId="0" fontId="0" fillId="0" borderId="0" xfId="0" applyAlignment="1">
      <alignment horizontal="left"/>
    </xf>
    <xf numFmtId="0" fontId="6" fillId="0" borderId="0" xfId="0" applyFont="1"/>
    <xf numFmtId="164" fontId="1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right"/>
    </xf>
    <xf numFmtId="0" fontId="7" fillId="2" borderId="0" xfId="0" applyFont="1" applyFill="1"/>
    <xf numFmtId="2" fontId="7" fillId="2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right"/>
    </xf>
    <xf numFmtId="0" fontId="9" fillId="0" borderId="0" xfId="0" applyFont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0" fillId="0" borderId="1" xfId="0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58" zoomScaleNormal="100" workbookViewId="0">
      <selection activeCell="E121" sqref="E121"/>
    </sheetView>
  </sheetViews>
  <sheetFormatPr defaultRowHeight="15" x14ac:dyDescent="0.25"/>
  <cols>
    <col min="1" max="1" width="10.85546875" customWidth="1"/>
    <col min="6" max="6" width="11" customWidth="1"/>
    <col min="7" max="7" width="9.140625" customWidth="1"/>
  </cols>
  <sheetData>
    <row r="1" spans="1:9" x14ac:dyDescent="0.25">
      <c r="A1" t="s">
        <v>0</v>
      </c>
    </row>
    <row r="3" spans="1:9" x14ac:dyDescent="0.25">
      <c r="A3" s="1" t="s">
        <v>1</v>
      </c>
      <c r="B3" t="s">
        <v>2</v>
      </c>
    </row>
    <row r="4" spans="1:9" x14ac:dyDescent="0.25">
      <c r="B4" s="3" t="s">
        <v>3</v>
      </c>
      <c r="C4" s="1" t="s">
        <v>6</v>
      </c>
    </row>
    <row r="5" spans="1:9" x14ac:dyDescent="0.25">
      <c r="B5" s="3" t="s">
        <v>8</v>
      </c>
      <c r="C5" s="1" t="s">
        <v>7</v>
      </c>
    </row>
    <row r="6" spans="1:9" x14ac:dyDescent="0.25">
      <c r="B6" s="3" t="s">
        <v>4</v>
      </c>
      <c r="C6" s="1" t="s">
        <v>9</v>
      </c>
    </row>
    <row r="7" spans="1:9" x14ac:dyDescent="0.25">
      <c r="B7" s="3" t="s">
        <v>5</v>
      </c>
      <c r="C7" s="1" t="s">
        <v>10</v>
      </c>
    </row>
    <row r="10" spans="1:9" ht="16.5" thickBot="1" x14ac:dyDescent="0.3">
      <c r="A10" s="15" t="s">
        <v>52</v>
      </c>
      <c r="B10" s="16"/>
      <c r="C10" s="16"/>
      <c r="D10" s="17"/>
      <c r="E10" s="17"/>
      <c r="F10" s="17"/>
      <c r="G10" s="17"/>
      <c r="H10" s="17"/>
      <c r="I10" s="17"/>
    </row>
    <row r="13" spans="1:9" x14ac:dyDescent="0.25">
      <c r="A13" s="4" t="s">
        <v>34</v>
      </c>
    </row>
    <row r="15" spans="1:9" x14ac:dyDescent="0.25">
      <c r="A15" s="38" t="s">
        <v>11</v>
      </c>
      <c r="B15" s="38"/>
      <c r="F15" s="38" t="s">
        <v>18</v>
      </c>
      <c r="G15" s="38"/>
    </row>
    <row r="16" spans="1:9" x14ac:dyDescent="0.25">
      <c r="A16" s="39" t="s">
        <v>12</v>
      </c>
      <c r="B16" s="39"/>
      <c r="C16">
        <v>29</v>
      </c>
      <c r="F16" s="39" t="s">
        <v>12</v>
      </c>
      <c r="G16" s="39"/>
      <c r="H16">
        <v>16</v>
      </c>
    </row>
    <row r="17" spans="1:9" x14ac:dyDescent="0.25">
      <c r="A17" s="39" t="s">
        <v>13</v>
      </c>
      <c r="B17" s="39"/>
      <c r="C17" s="5">
        <f>115*70*0.000022957</f>
        <v>0.18480384999999999</v>
      </c>
      <c r="D17" s="1" t="s">
        <v>14</v>
      </c>
      <c r="F17" s="39" t="s">
        <v>13</v>
      </c>
      <c r="G17" s="39"/>
      <c r="H17" s="5">
        <f>107*75*0.000022957</f>
        <v>0.18422992500000002</v>
      </c>
      <c r="I17" s="1" t="s">
        <v>14</v>
      </c>
    </row>
    <row r="18" spans="1:9" x14ac:dyDescent="0.25">
      <c r="A18" s="39" t="s">
        <v>15</v>
      </c>
      <c r="B18" s="39"/>
      <c r="C18" s="6">
        <f>C16*C17</f>
        <v>5.3593116499999995</v>
      </c>
      <c r="D18" s="1" t="s">
        <v>14</v>
      </c>
      <c r="F18" s="39" t="s">
        <v>15</v>
      </c>
      <c r="G18" s="39"/>
      <c r="H18" s="6">
        <f>H16*H17</f>
        <v>2.9476788000000003</v>
      </c>
      <c r="I18" s="1" t="s">
        <v>14</v>
      </c>
    </row>
    <row r="20" spans="1:9" x14ac:dyDescent="0.25">
      <c r="A20" s="38" t="s">
        <v>16</v>
      </c>
      <c r="B20" s="38"/>
      <c r="F20" s="38" t="s">
        <v>19</v>
      </c>
      <c r="G20" s="38"/>
    </row>
    <row r="21" spans="1:9" x14ac:dyDescent="0.25">
      <c r="A21" s="39" t="s">
        <v>12</v>
      </c>
      <c r="B21" s="39"/>
      <c r="C21">
        <v>24</v>
      </c>
      <c r="F21" s="39" t="s">
        <v>12</v>
      </c>
      <c r="G21" s="39"/>
      <c r="H21">
        <v>1</v>
      </c>
    </row>
    <row r="22" spans="1:9" x14ac:dyDescent="0.25">
      <c r="A22" s="39" t="s">
        <v>13</v>
      </c>
      <c r="B22" s="39"/>
      <c r="C22" s="5">
        <f>115*75*0.000022957</f>
        <v>0.198004125</v>
      </c>
      <c r="D22" s="1" t="s">
        <v>14</v>
      </c>
      <c r="F22" s="39" t="s">
        <v>13</v>
      </c>
      <c r="G22" s="39"/>
      <c r="H22" s="5">
        <f>192.4*70*0.000022957</f>
        <v>0.309184876</v>
      </c>
      <c r="I22" s="1" t="s">
        <v>14</v>
      </c>
    </row>
    <row r="23" spans="1:9" x14ac:dyDescent="0.25">
      <c r="A23" s="39" t="s">
        <v>15</v>
      </c>
      <c r="B23" s="39"/>
      <c r="C23" s="6">
        <f>C21*C22</f>
        <v>4.7520990000000003</v>
      </c>
      <c r="D23" s="1" t="s">
        <v>14</v>
      </c>
      <c r="F23" s="39" t="s">
        <v>15</v>
      </c>
      <c r="G23" s="39"/>
      <c r="H23" s="6">
        <f>H21*H22</f>
        <v>0.309184876</v>
      </c>
      <c r="I23" s="1" t="s">
        <v>14</v>
      </c>
    </row>
    <row r="25" spans="1:9" x14ac:dyDescent="0.25">
      <c r="A25" s="38" t="s">
        <v>17</v>
      </c>
      <c r="B25" s="38"/>
      <c r="F25" s="38" t="s">
        <v>22</v>
      </c>
      <c r="G25" s="38"/>
    </row>
    <row r="26" spans="1:9" x14ac:dyDescent="0.25">
      <c r="A26" s="39" t="s">
        <v>12</v>
      </c>
      <c r="B26" s="39"/>
      <c r="C26">
        <v>20</v>
      </c>
      <c r="F26" s="39" t="s">
        <v>12</v>
      </c>
      <c r="G26" s="39"/>
      <c r="H26">
        <v>8</v>
      </c>
    </row>
    <row r="27" spans="1:9" x14ac:dyDescent="0.25">
      <c r="A27" s="39" t="s">
        <v>13</v>
      </c>
      <c r="B27" s="39"/>
      <c r="C27" s="5">
        <f>107*70*0.000022957</f>
        <v>0.17194793</v>
      </c>
      <c r="D27" s="1" t="s">
        <v>14</v>
      </c>
      <c r="F27" s="39" t="s">
        <v>13</v>
      </c>
      <c r="G27" s="39"/>
      <c r="H27" s="5">
        <f>192.58*75*0.000022957</f>
        <v>0.33157942950000008</v>
      </c>
      <c r="I27" s="1" t="s">
        <v>14</v>
      </c>
    </row>
    <row r="28" spans="1:9" x14ac:dyDescent="0.25">
      <c r="A28" s="39" t="s">
        <v>15</v>
      </c>
      <c r="B28" s="39"/>
      <c r="C28" s="6">
        <f>C26*C27</f>
        <v>3.4389585999999999</v>
      </c>
      <c r="D28" s="1" t="s">
        <v>14</v>
      </c>
      <c r="F28" s="39" t="s">
        <v>15</v>
      </c>
      <c r="G28" s="39"/>
      <c r="H28" s="6">
        <f>H26*H27</f>
        <v>2.6526354360000006</v>
      </c>
      <c r="I28" s="1" t="s">
        <v>14</v>
      </c>
    </row>
    <row r="30" spans="1:9" x14ac:dyDescent="0.25">
      <c r="A30" s="38" t="s">
        <v>21</v>
      </c>
      <c r="B30" s="38"/>
      <c r="F30" s="38" t="s">
        <v>20</v>
      </c>
      <c r="G30" s="38"/>
    </row>
    <row r="31" spans="1:9" x14ac:dyDescent="0.25">
      <c r="A31" s="39" t="s">
        <v>12</v>
      </c>
      <c r="B31" s="39"/>
      <c r="C31">
        <v>8</v>
      </c>
      <c r="F31" s="39" t="s">
        <v>12</v>
      </c>
      <c r="G31" s="39"/>
      <c r="H31">
        <v>1</v>
      </c>
    </row>
    <row r="32" spans="1:9" x14ac:dyDescent="0.25">
      <c r="A32" s="39" t="s">
        <v>13</v>
      </c>
      <c r="B32" s="39"/>
      <c r="C32" s="5">
        <f>193.01*75*0.000022957</f>
        <v>0.33231979275000001</v>
      </c>
      <c r="D32" s="1" t="s">
        <v>14</v>
      </c>
      <c r="F32" s="39" t="s">
        <v>13</v>
      </c>
      <c r="G32" s="39"/>
      <c r="H32" s="5">
        <f>115*95*0.000022957</f>
        <v>0.25080522500000002</v>
      </c>
      <c r="I32" s="1" t="s">
        <v>14</v>
      </c>
    </row>
    <row r="33" spans="1:9" x14ac:dyDescent="0.25">
      <c r="A33" s="39" t="s">
        <v>15</v>
      </c>
      <c r="B33" s="39"/>
      <c r="C33" s="6">
        <f>C31*C32</f>
        <v>2.6585583420000001</v>
      </c>
      <c r="D33" s="1" t="s">
        <v>14</v>
      </c>
      <c r="F33" s="39" t="s">
        <v>15</v>
      </c>
      <c r="G33" s="39"/>
      <c r="H33" s="6">
        <f>H31*H32</f>
        <v>0.25080522500000002</v>
      </c>
      <c r="I33" s="1" t="s">
        <v>14</v>
      </c>
    </row>
    <row r="35" spans="1:9" x14ac:dyDescent="0.25">
      <c r="A35" s="38" t="s">
        <v>23</v>
      </c>
      <c r="B35" s="38"/>
      <c r="F35" s="38" t="s">
        <v>24</v>
      </c>
      <c r="G35" s="38"/>
    </row>
    <row r="36" spans="1:9" x14ac:dyDescent="0.25">
      <c r="A36" s="39" t="s">
        <v>12</v>
      </c>
      <c r="B36" s="39"/>
      <c r="C36">
        <v>1</v>
      </c>
      <c r="F36" s="39" t="s">
        <v>12</v>
      </c>
      <c r="G36" s="39"/>
      <c r="H36">
        <v>3</v>
      </c>
    </row>
    <row r="37" spans="1:9" x14ac:dyDescent="0.25">
      <c r="A37" s="39" t="s">
        <v>13</v>
      </c>
      <c r="B37" s="39"/>
      <c r="C37" s="5">
        <f>115*100.87*0.000022957</f>
        <v>0.26630234785000001</v>
      </c>
      <c r="D37" s="1" t="s">
        <v>14</v>
      </c>
      <c r="F37" s="39" t="s">
        <v>13</v>
      </c>
      <c r="G37" s="39"/>
      <c r="H37" s="5">
        <f>115*75.88*0.000022957</f>
        <v>0.20032737339999998</v>
      </c>
      <c r="I37" s="1" t="s">
        <v>14</v>
      </c>
    </row>
    <row r="38" spans="1:9" x14ac:dyDescent="0.25">
      <c r="A38" s="39" t="s">
        <v>15</v>
      </c>
      <c r="B38" s="39"/>
      <c r="C38" s="6">
        <f>C36*C37</f>
        <v>0.26630234785000001</v>
      </c>
      <c r="D38" s="1" t="s">
        <v>14</v>
      </c>
      <c r="F38" s="39" t="s">
        <v>15</v>
      </c>
      <c r="G38" s="39"/>
      <c r="H38" s="6">
        <f>H36*H37</f>
        <v>0.60098212019999997</v>
      </c>
      <c r="I38" s="1" t="s">
        <v>14</v>
      </c>
    </row>
    <row r="40" spans="1:9" x14ac:dyDescent="0.25">
      <c r="A40" s="38" t="s">
        <v>25</v>
      </c>
      <c r="B40" s="38"/>
      <c r="F40" s="38" t="s">
        <v>26</v>
      </c>
      <c r="G40" s="38"/>
    </row>
    <row r="41" spans="1:9" x14ac:dyDescent="0.25">
      <c r="A41" s="39" t="s">
        <v>12</v>
      </c>
      <c r="B41" s="39"/>
      <c r="C41">
        <v>2</v>
      </c>
      <c r="F41" s="39" t="s">
        <v>12</v>
      </c>
      <c r="G41" s="39"/>
      <c r="H41">
        <v>2</v>
      </c>
    </row>
    <row r="42" spans="1:9" x14ac:dyDescent="0.25">
      <c r="A42" s="39" t="s">
        <v>13</v>
      </c>
      <c r="B42" s="39"/>
      <c r="C42" s="5">
        <f>115*75.87*0.000022957</f>
        <v>0.20030097285000004</v>
      </c>
      <c r="D42" s="1" t="s">
        <v>14</v>
      </c>
      <c r="F42" s="39" t="s">
        <v>13</v>
      </c>
      <c r="G42" s="39"/>
      <c r="H42" s="5">
        <f>107*75.87*0.000022957</f>
        <v>0.18636699213000002</v>
      </c>
      <c r="I42" s="1" t="s">
        <v>14</v>
      </c>
    </row>
    <row r="43" spans="1:9" x14ac:dyDescent="0.25">
      <c r="A43" s="39" t="s">
        <v>15</v>
      </c>
      <c r="B43" s="39"/>
      <c r="C43" s="6">
        <f>C41*C42</f>
        <v>0.40060194570000007</v>
      </c>
      <c r="D43" s="1" t="s">
        <v>14</v>
      </c>
      <c r="F43" s="39" t="s">
        <v>15</v>
      </c>
      <c r="G43" s="39"/>
      <c r="H43" s="6">
        <f>H41*H42</f>
        <v>0.37273398426000004</v>
      </c>
      <c r="I43" s="1" t="s">
        <v>14</v>
      </c>
    </row>
    <row r="45" spans="1:9" x14ac:dyDescent="0.25">
      <c r="A45" s="38" t="s">
        <v>27</v>
      </c>
      <c r="B45" s="38"/>
      <c r="F45" s="38" t="s">
        <v>28</v>
      </c>
      <c r="G45" s="38"/>
    </row>
    <row r="46" spans="1:9" x14ac:dyDescent="0.25">
      <c r="A46" s="39" t="s">
        <v>12</v>
      </c>
      <c r="B46" s="39"/>
      <c r="C46">
        <v>2</v>
      </c>
      <c r="F46" s="39" t="s">
        <v>12</v>
      </c>
      <c r="G46" s="39"/>
      <c r="H46">
        <v>1</v>
      </c>
    </row>
    <row r="47" spans="1:9" x14ac:dyDescent="0.25">
      <c r="A47" s="39" t="s">
        <v>13</v>
      </c>
      <c r="B47" s="39"/>
      <c r="C47" s="5">
        <f>107*75.88*0.000022957</f>
        <v>0.18639155612</v>
      </c>
      <c r="D47" s="1" t="s">
        <v>14</v>
      </c>
      <c r="F47" s="39" t="s">
        <v>13</v>
      </c>
      <c r="G47" s="39"/>
      <c r="H47" s="5">
        <f>193.16*75*0.000022957</f>
        <v>0.33257805899999998</v>
      </c>
      <c r="I47" s="1" t="s">
        <v>14</v>
      </c>
    </row>
    <row r="48" spans="1:9" x14ac:dyDescent="0.25">
      <c r="A48" s="39" t="s">
        <v>15</v>
      </c>
      <c r="B48" s="39"/>
      <c r="C48" s="6">
        <f>C46*C47</f>
        <v>0.37278311223999999</v>
      </c>
      <c r="D48" s="1" t="s">
        <v>14</v>
      </c>
      <c r="F48" s="39" t="s">
        <v>15</v>
      </c>
      <c r="G48" s="39"/>
      <c r="H48" s="6">
        <f>H46*H47</f>
        <v>0.33257805899999998</v>
      </c>
      <c r="I48" s="1" t="s">
        <v>14</v>
      </c>
    </row>
    <row r="51" spans="1:9" x14ac:dyDescent="0.25">
      <c r="A51" s="38" t="s">
        <v>29</v>
      </c>
      <c r="B51" s="38"/>
      <c r="F51" s="38" t="s">
        <v>30</v>
      </c>
      <c r="G51" s="38"/>
    </row>
    <row r="52" spans="1:9" x14ac:dyDescent="0.25">
      <c r="A52" s="39" t="s">
        <v>12</v>
      </c>
      <c r="B52" s="39"/>
      <c r="C52">
        <v>1</v>
      </c>
      <c r="F52" s="39" t="s">
        <v>12</v>
      </c>
      <c r="G52" s="39"/>
      <c r="H52">
        <v>1</v>
      </c>
    </row>
    <row r="53" spans="1:9" x14ac:dyDescent="0.25">
      <c r="A53" s="39" t="s">
        <v>13</v>
      </c>
      <c r="B53" s="39"/>
      <c r="C53" s="5">
        <f>192.81*87.87*0.000022957</f>
        <v>0.38894242286790004</v>
      </c>
      <c r="D53" s="1" t="s">
        <v>14</v>
      </c>
      <c r="F53" s="39" t="s">
        <v>13</v>
      </c>
      <c r="G53" s="39"/>
      <c r="H53" s="5">
        <f>192.76*78*0.000022957</f>
        <v>0.34516492296000001</v>
      </c>
      <c r="I53" s="1" t="s">
        <v>14</v>
      </c>
    </row>
    <row r="54" spans="1:9" x14ac:dyDescent="0.25">
      <c r="A54" s="39" t="s">
        <v>15</v>
      </c>
      <c r="B54" s="39"/>
      <c r="C54" s="6">
        <f>C52*C53</f>
        <v>0.38894242286790004</v>
      </c>
      <c r="D54" s="1" t="s">
        <v>14</v>
      </c>
      <c r="F54" s="39" t="s">
        <v>15</v>
      </c>
      <c r="G54" s="39"/>
      <c r="H54" s="6">
        <f>H52*H53</f>
        <v>0.34516492296000001</v>
      </c>
      <c r="I54" s="1" t="s">
        <v>14</v>
      </c>
    </row>
    <row r="56" spans="1:9" x14ac:dyDescent="0.25">
      <c r="A56" s="38" t="s">
        <v>31</v>
      </c>
      <c r="B56" s="38"/>
      <c r="F56" s="38" t="s">
        <v>32</v>
      </c>
      <c r="G56" s="38"/>
    </row>
    <row r="57" spans="1:9" x14ac:dyDescent="0.25">
      <c r="A57" s="39" t="s">
        <v>12</v>
      </c>
      <c r="B57" s="39"/>
      <c r="C57">
        <v>2</v>
      </c>
      <c r="F57" s="39" t="s">
        <v>12</v>
      </c>
      <c r="G57" s="39"/>
      <c r="H57">
        <v>7</v>
      </c>
    </row>
    <row r="58" spans="1:9" x14ac:dyDescent="0.25">
      <c r="A58" s="39" t="s">
        <v>13</v>
      </c>
      <c r="B58" s="39"/>
      <c r="C58" s="5">
        <f>130*70*0.000022957</f>
        <v>0.2089087</v>
      </c>
      <c r="D58" s="1" t="s">
        <v>14</v>
      </c>
      <c r="F58" s="39" t="s">
        <v>13</v>
      </c>
      <c r="G58" s="39"/>
      <c r="H58" s="5">
        <f>130*85*0.000022957</f>
        <v>0.25367485000000001</v>
      </c>
      <c r="I58" s="1" t="s">
        <v>14</v>
      </c>
    </row>
    <row r="59" spans="1:9" x14ac:dyDescent="0.25">
      <c r="A59" s="39" t="s">
        <v>15</v>
      </c>
      <c r="B59" s="39"/>
      <c r="C59" s="6">
        <f>C57*C58</f>
        <v>0.41781740000000001</v>
      </c>
      <c r="D59" s="1" t="s">
        <v>14</v>
      </c>
      <c r="F59" s="39" t="s">
        <v>15</v>
      </c>
      <c r="G59" s="39"/>
      <c r="H59" s="6">
        <f>H57*H58</f>
        <v>1.7757239500000002</v>
      </c>
      <c r="I59" s="1" t="s">
        <v>14</v>
      </c>
    </row>
    <row r="61" spans="1:9" x14ac:dyDescent="0.25">
      <c r="A61" s="38" t="s">
        <v>33</v>
      </c>
      <c r="B61" s="38"/>
      <c r="F61" s="38" t="s">
        <v>48</v>
      </c>
      <c r="G61" s="38"/>
    </row>
    <row r="62" spans="1:9" x14ac:dyDescent="0.25">
      <c r="A62" s="39" t="s">
        <v>12</v>
      </c>
      <c r="B62" s="39"/>
      <c r="C62">
        <v>1</v>
      </c>
      <c r="F62" s="39" t="s">
        <v>12</v>
      </c>
      <c r="G62" s="39"/>
      <c r="H62">
        <v>1</v>
      </c>
    </row>
    <row r="63" spans="1:9" x14ac:dyDescent="0.25">
      <c r="A63" s="39" t="s">
        <v>13</v>
      </c>
      <c r="B63" s="39"/>
      <c r="C63" s="5">
        <f>130*84*0.000022957</f>
        <v>0.25069044000000001</v>
      </c>
      <c r="D63" s="1" t="s">
        <v>14</v>
      </c>
      <c r="F63" s="39" t="s">
        <v>13</v>
      </c>
      <c r="G63" s="39"/>
      <c r="H63" s="5">
        <f>82.26*84*0.000022957</f>
        <v>0.15862919688000002</v>
      </c>
      <c r="I63" s="1" t="s">
        <v>14</v>
      </c>
    </row>
    <row r="64" spans="1:9" x14ac:dyDescent="0.25">
      <c r="A64" s="39" t="s">
        <v>15</v>
      </c>
      <c r="B64" s="39"/>
      <c r="C64" s="6">
        <f>C62*C63</f>
        <v>0.25069044000000001</v>
      </c>
      <c r="D64" s="1" t="s">
        <v>14</v>
      </c>
      <c r="F64" s="39" t="s">
        <v>15</v>
      </c>
      <c r="G64" s="39"/>
      <c r="H64" s="6">
        <f>H62*H63</f>
        <v>0.15862919688000002</v>
      </c>
      <c r="I64" s="1" t="s">
        <v>14</v>
      </c>
    </row>
    <row r="66" spans="1:9" ht="15.75" thickBot="1" x14ac:dyDescent="0.3"/>
    <row r="67" spans="1:9" ht="15.75" thickBot="1" x14ac:dyDescent="0.3">
      <c r="F67" s="37" t="s">
        <v>35</v>
      </c>
      <c r="G67" s="31"/>
      <c r="H67" s="8">
        <f>SUM(C18,H18,C23,H23,C28,H28,C33,H33,C38,H38,C43,H43,C48,H48,C54,H54,C59,H59,C64,H64)</f>
        <v>28.052181830957903</v>
      </c>
      <c r="I67" s="9" t="s">
        <v>14</v>
      </c>
    </row>
    <row r="68" spans="1:9" ht="15.75" thickBot="1" x14ac:dyDescent="0.3"/>
    <row r="69" spans="1:9" ht="15.75" thickBot="1" x14ac:dyDescent="0.3">
      <c r="F69" s="32" t="s">
        <v>49</v>
      </c>
      <c r="G69" s="33"/>
      <c r="H69" s="11">
        <f>SUM(C16,H16,C21,H21,C26,H26,C31,H31,C36,H36,C41,H41,C46,H46,C52,H52,C57,H57,C62,H62)</f>
        <v>131</v>
      </c>
      <c r="I69" s="12" t="s">
        <v>50</v>
      </c>
    </row>
    <row r="70" spans="1:9" x14ac:dyDescent="0.25">
      <c r="A70" s="4" t="s">
        <v>36</v>
      </c>
    </row>
    <row r="72" spans="1:9" x14ac:dyDescent="0.25">
      <c r="A72" s="38" t="s">
        <v>37</v>
      </c>
      <c r="B72" s="38"/>
      <c r="F72" s="38" t="s">
        <v>42</v>
      </c>
      <c r="G72" s="38"/>
    </row>
    <row r="73" spans="1:9" x14ac:dyDescent="0.25">
      <c r="A73" s="7" t="s">
        <v>38</v>
      </c>
      <c r="B73" s="2">
        <v>1501.75</v>
      </c>
      <c r="C73" t="s">
        <v>41</v>
      </c>
      <c r="F73" s="7" t="s">
        <v>38</v>
      </c>
      <c r="G73" s="2">
        <v>1501.75</v>
      </c>
      <c r="H73" t="s">
        <v>41</v>
      </c>
    </row>
    <row r="74" spans="1:9" x14ac:dyDescent="0.25">
      <c r="A74" s="7" t="s">
        <v>39</v>
      </c>
      <c r="B74" s="2">
        <v>24</v>
      </c>
      <c r="C74" t="s">
        <v>41</v>
      </c>
      <c r="F74" s="7" t="s">
        <v>39</v>
      </c>
      <c r="G74" s="2">
        <v>24</v>
      </c>
      <c r="H74" t="s">
        <v>41</v>
      </c>
    </row>
    <row r="75" spans="1:9" x14ac:dyDescent="0.25">
      <c r="A75" t="s">
        <v>40</v>
      </c>
      <c r="B75" s="10">
        <f>B73*B74*0.000022957</f>
        <v>0.82741619399999999</v>
      </c>
      <c r="C75" t="s">
        <v>14</v>
      </c>
      <c r="F75" t="s">
        <v>40</v>
      </c>
      <c r="G75" s="10">
        <f>G73*G74*0.000022957</f>
        <v>0.82741619399999999</v>
      </c>
      <c r="H75" t="s">
        <v>14</v>
      </c>
    </row>
    <row r="77" spans="1:9" x14ac:dyDescent="0.25">
      <c r="A77" s="38" t="s">
        <v>43</v>
      </c>
      <c r="B77" s="38"/>
      <c r="F77" s="38" t="s">
        <v>44</v>
      </c>
      <c r="G77" s="38"/>
    </row>
    <row r="78" spans="1:9" x14ac:dyDescent="0.25">
      <c r="A78" s="7" t="s">
        <v>38</v>
      </c>
      <c r="B78" s="2">
        <v>1501.75</v>
      </c>
      <c r="C78" t="s">
        <v>41</v>
      </c>
      <c r="F78" s="7" t="s">
        <v>38</v>
      </c>
      <c r="G78" s="2">
        <v>820.4</v>
      </c>
      <c r="H78" t="s">
        <v>41</v>
      </c>
    </row>
    <row r="79" spans="1:9" x14ac:dyDescent="0.25">
      <c r="A79" s="7" t="s">
        <v>39</v>
      </c>
      <c r="B79" s="2">
        <v>24</v>
      </c>
      <c r="C79" t="s">
        <v>41</v>
      </c>
      <c r="F79" s="7" t="s">
        <v>39</v>
      </c>
      <c r="G79" s="2">
        <v>24</v>
      </c>
      <c r="H79" t="s">
        <v>41</v>
      </c>
    </row>
    <row r="80" spans="1:9" x14ac:dyDescent="0.25">
      <c r="A80" t="s">
        <v>40</v>
      </c>
      <c r="B80" s="10">
        <f>B78*B79*0.000022957</f>
        <v>0.82741619399999999</v>
      </c>
      <c r="C80" t="s">
        <v>14</v>
      </c>
      <c r="F80" t="s">
        <v>40</v>
      </c>
      <c r="G80" s="10">
        <f>G78*G79*0.000022957</f>
        <v>0.45201414719999999</v>
      </c>
      <c r="H80" t="s">
        <v>14</v>
      </c>
    </row>
    <row r="82" spans="1:9" x14ac:dyDescent="0.25">
      <c r="A82" s="38" t="s">
        <v>45</v>
      </c>
      <c r="B82" s="38"/>
      <c r="F82" s="38" t="s">
        <v>46</v>
      </c>
      <c r="G82" s="38"/>
    </row>
    <row r="83" spans="1:9" x14ac:dyDescent="0.25">
      <c r="A83" s="7" t="s">
        <v>38</v>
      </c>
      <c r="B83" s="2">
        <v>820.4</v>
      </c>
      <c r="C83" t="s">
        <v>41</v>
      </c>
      <c r="F83" s="7" t="s">
        <v>38</v>
      </c>
      <c r="G83" s="2">
        <v>444</v>
      </c>
      <c r="H83" t="s">
        <v>41</v>
      </c>
    </row>
    <row r="84" spans="1:9" x14ac:dyDescent="0.25">
      <c r="A84" s="7" t="s">
        <v>39</v>
      </c>
      <c r="B84" s="2">
        <v>24</v>
      </c>
      <c r="C84" t="s">
        <v>41</v>
      </c>
      <c r="F84" s="7" t="s">
        <v>39</v>
      </c>
      <c r="G84" s="2">
        <v>24</v>
      </c>
      <c r="H84" t="s">
        <v>41</v>
      </c>
    </row>
    <row r="85" spans="1:9" x14ac:dyDescent="0.25">
      <c r="A85" t="s">
        <v>40</v>
      </c>
      <c r="B85" s="10">
        <f>B83*B84*0.000022957</f>
        <v>0.45201414719999999</v>
      </c>
      <c r="C85" t="s">
        <v>14</v>
      </c>
      <c r="F85" t="s">
        <v>40</v>
      </c>
      <c r="G85" s="10">
        <f>G83*G84*0.000022957</f>
        <v>0.24462979200000001</v>
      </c>
      <c r="H85" t="s">
        <v>14</v>
      </c>
    </row>
    <row r="87" spans="1:9" ht="15.75" thickBot="1" x14ac:dyDescent="0.3"/>
    <row r="88" spans="1:9" ht="15.75" thickBot="1" x14ac:dyDescent="0.3">
      <c r="F88" s="30" t="s">
        <v>47</v>
      </c>
      <c r="G88" s="31"/>
      <c r="H88" s="8">
        <f>SUM(B75,G75,B80,G80,B85,G85)</f>
        <v>3.6309066683999998</v>
      </c>
      <c r="I88" s="9" t="s">
        <v>14</v>
      </c>
    </row>
    <row r="89" spans="1:9" ht="15.75" thickBot="1" x14ac:dyDescent="0.3"/>
    <row r="90" spans="1:9" ht="15.75" thickBot="1" x14ac:dyDescent="0.3">
      <c r="C90" s="34" t="s">
        <v>51</v>
      </c>
      <c r="D90" s="35"/>
      <c r="E90" s="35"/>
      <c r="F90" s="13">
        <f>H88+H67</f>
        <v>31.683088499357901</v>
      </c>
      <c r="G90" s="14" t="s">
        <v>14</v>
      </c>
    </row>
    <row r="92" spans="1:9" x14ac:dyDescent="0.25">
      <c r="A92" s="19" t="s">
        <v>55</v>
      </c>
    </row>
    <row r="95" spans="1:9" ht="16.5" thickBot="1" x14ac:dyDescent="0.3">
      <c r="A95" s="15" t="s">
        <v>56</v>
      </c>
      <c r="B95" s="16"/>
      <c r="C95" s="16"/>
      <c r="D95" s="17"/>
      <c r="E95" s="17"/>
      <c r="F95" s="17"/>
      <c r="G95" s="17"/>
      <c r="H95" s="17"/>
      <c r="I95" s="17"/>
    </row>
    <row r="98" spans="1:9" x14ac:dyDescent="0.25">
      <c r="A98" t="s">
        <v>53</v>
      </c>
    </row>
    <row r="99" spans="1:9" x14ac:dyDescent="0.25">
      <c r="A99" s="7" t="s">
        <v>8</v>
      </c>
      <c r="B99" s="18">
        <v>0.4</v>
      </c>
    </row>
    <row r="100" spans="1:9" x14ac:dyDescent="0.25">
      <c r="D100" s="36" t="s">
        <v>57</v>
      </c>
      <c r="E100" s="36"/>
      <c r="F100" s="20">
        <f>((B99*H67)+(B102*H88))/F90</f>
        <v>0.44927833558409697</v>
      </c>
    </row>
    <row r="101" spans="1:9" x14ac:dyDescent="0.25">
      <c r="A101" t="s">
        <v>54</v>
      </c>
    </row>
    <row r="102" spans="1:9" x14ac:dyDescent="0.25">
      <c r="A102" s="7" t="s">
        <v>8</v>
      </c>
      <c r="B102" s="18">
        <v>0.83</v>
      </c>
    </row>
    <row r="106" spans="1:9" ht="16.5" thickBot="1" x14ac:dyDescent="0.3">
      <c r="A106" s="15" t="s">
        <v>58</v>
      </c>
      <c r="B106" s="16"/>
      <c r="C106" s="16"/>
      <c r="D106" s="17"/>
      <c r="E106" s="17"/>
      <c r="F106" s="17"/>
      <c r="G106" s="17"/>
      <c r="H106" s="17"/>
      <c r="I106" s="17"/>
    </row>
    <row r="109" spans="1:9" x14ac:dyDescent="0.25">
      <c r="A109" t="s">
        <v>59</v>
      </c>
    </row>
    <row r="111" spans="1:9" x14ac:dyDescent="0.25">
      <c r="E111" s="7" t="s">
        <v>62</v>
      </c>
      <c r="F111">
        <v>2</v>
      </c>
      <c r="G111" t="s">
        <v>61</v>
      </c>
    </row>
    <row r="112" spans="1:9" x14ac:dyDescent="0.25">
      <c r="E112" s="7"/>
    </row>
    <row r="113" spans="1:9" x14ac:dyDescent="0.25">
      <c r="A113" t="s">
        <v>63</v>
      </c>
      <c r="E113" s="7"/>
    </row>
    <row r="115" spans="1:9" ht="16.5" thickBot="1" x14ac:dyDescent="0.3">
      <c r="A115" s="15" t="s">
        <v>60</v>
      </c>
      <c r="B115" s="16"/>
      <c r="C115" s="16"/>
      <c r="D115" s="17"/>
      <c r="E115" s="17"/>
      <c r="F115" s="17"/>
      <c r="G115" s="17"/>
      <c r="H115" s="17"/>
      <c r="I115" s="17"/>
    </row>
    <row r="118" spans="1:9" ht="15.75" x14ac:dyDescent="0.25">
      <c r="B118" s="21" t="s">
        <v>3</v>
      </c>
      <c r="C118" s="23">
        <f>F100*F111*F90</f>
        <v>28.469050534310323</v>
      </c>
      <c r="D118" s="22" t="s">
        <v>6</v>
      </c>
    </row>
  </sheetData>
  <mergeCells count="91">
    <mergeCell ref="A28:B28"/>
    <mergeCell ref="A16:B16"/>
    <mergeCell ref="A17:B17"/>
    <mergeCell ref="A18:B18"/>
    <mergeCell ref="A15:B15"/>
    <mergeCell ref="A20:B20"/>
    <mergeCell ref="A21:B21"/>
    <mergeCell ref="A22:B22"/>
    <mergeCell ref="A23:B23"/>
    <mergeCell ref="A25:B25"/>
    <mergeCell ref="A26:B26"/>
    <mergeCell ref="A27:B27"/>
    <mergeCell ref="F28:G28"/>
    <mergeCell ref="F15:G15"/>
    <mergeCell ref="F16:G16"/>
    <mergeCell ref="F17:G17"/>
    <mergeCell ref="F18:G18"/>
    <mergeCell ref="F20:G20"/>
    <mergeCell ref="F21:G21"/>
    <mergeCell ref="F22:G22"/>
    <mergeCell ref="F23:G23"/>
    <mergeCell ref="F25:G25"/>
    <mergeCell ref="F26:G26"/>
    <mergeCell ref="F27:G27"/>
    <mergeCell ref="A30:B30"/>
    <mergeCell ref="A31:B31"/>
    <mergeCell ref="A32:B32"/>
    <mergeCell ref="A33:B33"/>
    <mergeCell ref="F30:G30"/>
    <mergeCell ref="F31:G31"/>
    <mergeCell ref="F32:G32"/>
    <mergeCell ref="F33:G33"/>
    <mergeCell ref="A35:B35"/>
    <mergeCell ref="A36:B36"/>
    <mergeCell ref="A37:B37"/>
    <mergeCell ref="A38:B38"/>
    <mergeCell ref="F35:G35"/>
    <mergeCell ref="F36:G36"/>
    <mergeCell ref="F37:G37"/>
    <mergeCell ref="F38:G38"/>
    <mergeCell ref="A40:B40"/>
    <mergeCell ref="A41:B41"/>
    <mergeCell ref="A42:B42"/>
    <mergeCell ref="A43:B43"/>
    <mergeCell ref="F40:G40"/>
    <mergeCell ref="F41:G41"/>
    <mergeCell ref="F42:G42"/>
    <mergeCell ref="F43:G43"/>
    <mergeCell ref="A45:B45"/>
    <mergeCell ref="A46:B46"/>
    <mergeCell ref="A47:B47"/>
    <mergeCell ref="A48:B48"/>
    <mergeCell ref="F45:G45"/>
    <mergeCell ref="F46:G46"/>
    <mergeCell ref="F47:G47"/>
    <mergeCell ref="F48:G48"/>
    <mergeCell ref="A51:B51"/>
    <mergeCell ref="A52:B52"/>
    <mergeCell ref="A53:B53"/>
    <mergeCell ref="A54:B54"/>
    <mergeCell ref="F51:G51"/>
    <mergeCell ref="F52:G52"/>
    <mergeCell ref="F53:G53"/>
    <mergeCell ref="F54:G54"/>
    <mergeCell ref="A56:B56"/>
    <mergeCell ref="A57:B57"/>
    <mergeCell ref="A58:B58"/>
    <mergeCell ref="A59:B59"/>
    <mergeCell ref="F56:G56"/>
    <mergeCell ref="F57:G57"/>
    <mergeCell ref="F58:G58"/>
    <mergeCell ref="F59:G59"/>
    <mergeCell ref="A61:B61"/>
    <mergeCell ref="A62:B62"/>
    <mergeCell ref="A63:B63"/>
    <mergeCell ref="A64:B64"/>
    <mergeCell ref="F61:G61"/>
    <mergeCell ref="F62:G62"/>
    <mergeCell ref="F63:G63"/>
    <mergeCell ref="F64:G64"/>
    <mergeCell ref="A72:B72"/>
    <mergeCell ref="F72:G72"/>
    <mergeCell ref="A77:B77"/>
    <mergeCell ref="F77:G77"/>
    <mergeCell ref="A82:B82"/>
    <mergeCell ref="F82:G82"/>
    <mergeCell ref="F88:G88"/>
    <mergeCell ref="F69:G69"/>
    <mergeCell ref="C90:E90"/>
    <mergeCell ref="D100:E100"/>
    <mergeCell ref="F67:G67"/>
  </mergeCells>
  <pageMargins left="0.7" right="0.7" top="0.75" bottom="0.75" header="0.3" footer="0.3"/>
  <pageSetup orientation="portrait" r:id="rId1"/>
  <headerFooter>
    <oddFooter>&amp;RPrepared by: Agustin Rega
09/17/2012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tabSelected="1" workbookViewId="0">
      <pane ySplit="1" topLeftCell="A2" activePane="bottomLeft" state="frozen"/>
      <selection pane="bottomLeft" activeCell="A53" sqref="A53:XFD53"/>
    </sheetView>
  </sheetViews>
  <sheetFormatPr defaultRowHeight="15" x14ac:dyDescent="0.25"/>
  <cols>
    <col min="2" max="2" width="13.28515625" bestFit="1" customWidth="1"/>
    <col min="3" max="3" width="11.7109375" bestFit="1" customWidth="1"/>
    <col min="4" max="5" width="11.7109375" customWidth="1"/>
    <col min="6" max="6" width="11.5703125" bestFit="1" customWidth="1"/>
    <col min="7" max="9" width="11.5703125" customWidth="1"/>
    <col min="12" max="12" width="14.7109375" style="24" bestFit="1" customWidth="1"/>
    <col min="13" max="13" width="14" bestFit="1" customWidth="1"/>
    <col min="14" max="14" width="23.85546875" bestFit="1" customWidth="1"/>
    <col min="15" max="15" width="16.7109375" customWidth="1"/>
    <col min="16" max="16" width="22.42578125" customWidth="1"/>
    <col min="17" max="17" width="15.42578125" customWidth="1"/>
  </cols>
  <sheetData>
    <row r="1" spans="1:17" s="4" customFormat="1" ht="60.75" thickBot="1" x14ac:dyDescent="0.3">
      <c r="A1" s="28" t="s">
        <v>64</v>
      </c>
      <c r="B1" s="28" t="s">
        <v>65</v>
      </c>
      <c r="C1" s="28" t="s">
        <v>66</v>
      </c>
      <c r="D1" s="28" t="s">
        <v>68</v>
      </c>
      <c r="E1" s="28" t="s">
        <v>69</v>
      </c>
      <c r="F1" s="28" t="s">
        <v>67</v>
      </c>
      <c r="G1" s="28" t="s">
        <v>94</v>
      </c>
      <c r="H1" s="28" t="s">
        <v>93</v>
      </c>
      <c r="I1" s="28" t="s">
        <v>95</v>
      </c>
      <c r="J1" s="28" t="s">
        <v>96</v>
      </c>
      <c r="K1" s="28" t="s">
        <v>97</v>
      </c>
      <c r="L1" s="29" t="s">
        <v>98</v>
      </c>
      <c r="M1" s="27" t="s">
        <v>88</v>
      </c>
      <c r="N1" s="27" t="s">
        <v>91</v>
      </c>
      <c r="O1" s="27" t="s">
        <v>92</v>
      </c>
      <c r="P1" s="27"/>
      <c r="Q1" s="27"/>
    </row>
    <row r="2" spans="1:17" x14ac:dyDescent="0.25">
      <c r="A2">
        <v>1</v>
      </c>
      <c r="B2">
        <v>0.17199999999999999</v>
      </c>
      <c r="C2">
        <v>0.43030000000000002</v>
      </c>
      <c r="D2">
        <v>0.83</v>
      </c>
      <c r="E2">
        <v>0.4</v>
      </c>
      <c r="F2">
        <f t="shared" ref="F2:F13" si="0">((B2*D2)+(E2*C2))/(B2+C2)</f>
        <v>0.52279594886269298</v>
      </c>
      <c r="G2">
        <v>140</v>
      </c>
      <c r="H2">
        <v>224.87</v>
      </c>
      <c r="I2">
        <f>0.7039*(H2^0.3917)*(F2^-1.1309)*((1/G2)^-0.1985)</f>
        <v>32.606715657925783</v>
      </c>
      <c r="J2">
        <f>4.016*(((I2/60)+0.347)^-0.826)</f>
        <v>4.4199579203175379</v>
      </c>
      <c r="K2">
        <f>F2*J2*(C2+B2)</f>
        <v>1.3917563499495864</v>
      </c>
      <c r="L2" s="25">
        <v>1</v>
      </c>
      <c r="M2">
        <f>K2</f>
        <v>1.3917563499495864</v>
      </c>
      <c r="N2">
        <f>(M2/(3*7*0.5))^(2/3)</f>
        <v>0.25996563467784323</v>
      </c>
      <c r="O2">
        <f>(M2/(3*10.5*0.5))^(2/3)</f>
        <v>0.19839090972676235</v>
      </c>
    </row>
    <row r="3" spans="1:17" x14ac:dyDescent="0.25">
      <c r="A3">
        <v>2</v>
      </c>
      <c r="B3">
        <v>9.1700000000000004E-2</v>
      </c>
      <c r="C3">
        <v>0.42909999999999998</v>
      </c>
      <c r="D3">
        <v>0.83</v>
      </c>
      <c r="E3">
        <v>0.4</v>
      </c>
      <c r="F3">
        <f t="shared" si="0"/>
        <v>0.4757123655913979</v>
      </c>
      <c r="G3">
        <v>140</v>
      </c>
      <c r="H3">
        <v>204.37</v>
      </c>
      <c r="I3">
        <f t="shared" ref="I3:I52" si="1">0.7039*(H3^0.3917)*(F3^-1.1309)*((1/G3)^-0.1985)</f>
        <v>34.946118733161562</v>
      </c>
      <c r="J3">
        <f t="shared" ref="J3:J52" si="2">4.016*(((I3/60)+0.347)^-0.826)</f>
        <v>4.2662339830726843</v>
      </c>
      <c r="K3">
        <f>F3*J3*(C3+B3)</f>
        <v>1.0569637355402406</v>
      </c>
      <c r="L3" s="25">
        <v>2</v>
      </c>
      <c r="M3">
        <f>K3</f>
        <v>1.0569637355402406</v>
      </c>
      <c r="N3">
        <f t="shared" ref="N3:N66" si="3">(M3/(3*7*0.5))^(2/3)</f>
        <v>0.21639498510290972</v>
      </c>
      <c r="O3">
        <f t="shared" ref="O3:O66" si="4">(M3/(3*10.5*0.5))^(2/3)</f>
        <v>0.16514028097627789</v>
      </c>
    </row>
    <row r="4" spans="1:17" x14ac:dyDescent="0.25">
      <c r="A4">
        <v>3</v>
      </c>
      <c r="B4">
        <v>0.11940000000000001</v>
      </c>
      <c r="C4">
        <v>0.56689999999999996</v>
      </c>
      <c r="D4">
        <v>0.83</v>
      </c>
      <c r="E4">
        <v>0.4</v>
      </c>
      <c r="F4">
        <f t="shared" si="0"/>
        <v>0.47480984991986014</v>
      </c>
      <c r="G4">
        <v>140</v>
      </c>
      <c r="H4">
        <v>248.65</v>
      </c>
      <c r="I4">
        <f t="shared" si="1"/>
        <v>37.817536117150034</v>
      </c>
      <c r="J4">
        <f t="shared" si="2"/>
        <v>4.0929222770013816</v>
      </c>
      <c r="K4">
        <f>F4*J4*(C4+B4)</f>
        <v>1.3337278390282241</v>
      </c>
      <c r="L4" s="25">
        <v>3</v>
      </c>
      <c r="N4">
        <f t="shared" si="3"/>
        <v>0</v>
      </c>
      <c r="O4">
        <f t="shared" si="4"/>
        <v>0</v>
      </c>
    </row>
    <row r="5" spans="1:17" x14ac:dyDescent="0.25">
      <c r="A5">
        <v>4</v>
      </c>
      <c r="B5">
        <v>0.1056</v>
      </c>
      <c r="C5">
        <v>0.48859999999999998</v>
      </c>
      <c r="D5">
        <v>0.83</v>
      </c>
      <c r="E5">
        <v>0.4</v>
      </c>
      <c r="F5">
        <f t="shared" si="0"/>
        <v>0.47641871423763049</v>
      </c>
      <c r="G5">
        <v>140</v>
      </c>
      <c r="H5">
        <v>223.23</v>
      </c>
      <c r="I5">
        <f t="shared" si="1"/>
        <v>36.114882770012926</v>
      </c>
      <c r="J5">
        <f t="shared" si="2"/>
        <v>4.1937646356335643</v>
      </c>
      <c r="K5">
        <f>F5*J5*(C5+B5)</f>
        <v>1.1872044431722344</v>
      </c>
      <c r="L5" s="25">
        <v>3</v>
      </c>
      <c r="M5">
        <f>K5+K4</f>
        <v>2.5209322822004587</v>
      </c>
      <c r="N5">
        <f t="shared" si="3"/>
        <v>0.38629099755415042</v>
      </c>
      <c r="O5">
        <f t="shared" si="4"/>
        <v>0.29479520444691354</v>
      </c>
    </row>
    <row r="6" spans="1:17" x14ac:dyDescent="0.25">
      <c r="A6">
        <v>5</v>
      </c>
      <c r="B6">
        <v>0.1072</v>
      </c>
      <c r="C6">
        <v>0.59899999999999998</v>
      </c>
      <c r="D6">
        <v>0.83</v>
      </c>
      <c r="E6">
        <v>0.4</v>
      </c>
      <c r="F6">
        <f t="shared" si="0"/>
        <v>0.46527329368450865</v>
      </c>
      <c r="G6">
        <v>140</v>
      </c>
      <c r="H6">
        <v>224.62</v>
      </c>
      <c r="I6">
        <f t="shared" si="1"/>
        <v>37.185070470824186</v>
      </c>
      <c r="J6">
        <f t="shared" si="2"/>
        <v>4.1297499350734945</v>
      </c>
      <c r="K6">
        <f>F6*J6*(C6+B6)</f>
        <v>1.3569367146667084</v>
      </c>
      <c r="L6" s="25">
        <v>4</v>
      </c>
      <c r="M6">
        <f>K6</f>
        <v>1.3569367146667084</v>
      </c>
      <c r="N6">
        <f t="shared" si="3"/>
        <v>0.25561138657120624</v>
      </c>
      <c r="O6">
        <f t="shared" si="4"/>
        <v>0.19506799651124343</v>
      </c>
    </row>
    <row r="7" spans="1:17" x14ac:dyDescent="0.25">
      <c r="A7">
        <v>6</v>
      </c>
      <c r="B7">
        <v>0.1018</v>
      </c>
      <c r="C7">
        <v>0.47199999999999998</v>
      </c>
      <c r="D7">
        <v>0.83</v>
      </c>
      <c r="E7">
        <v>0.4</v>
      </c>
      <c r="F7">
        <f t="shared" si="0"/>
        <v>0.47628790519344716</v>
      </c>
      <c r="G7">
        <v>140</v>
      </c>
      <c r="H7">
        <v>216.64</v>
      </c>
      <c r="I7">
        <f t="shared" si="1"/>
        <v>35.704547265278421</v>
      </c>
      <c r="J7">
        <f t="shared" si="2"/>
        <v>4.2188957940102414</v>
      </c>
      <c r="K7">
        <f>F7*J7*(C7+B7)</f>
        <v>1.1529989071282347</v>
      </c>
      <c r="L7" s="25">
        <v>5</v>
      </c>
      <c r="M7">
        <f>K7</f>
        <v>1.1529989071282347</v>
      </c>
      <c r="N7">
        <f t="shared" si="3"/>
        <v>0.22931179701644738</v>
      </c>
      <c r="O7">
        <f t="shared" si="4"/>
        <v>0.17499765335348397</v>
      </c>
    </row>
    <row r="8" spans="1:17" x14ac:dyDescent="0.25">
      <c r="A8">
        <v>7</v>
      </c>
      <c r="B8">
        <v>0.1399</v>
      </c>
      <c r="C8">
        <v>0.66400000000000003</v>
      </c>
      <c r="D8">
        <v>0.83</v>
      </c>
      <c r="E8">
        <v>0.4</v>
      </c>
      <c r="F8">
        <f t="shared" si="0"/>
        <v>0.47483144669735033</v>
      </c>
      <c r="G8">
        <v>140</v>
      </c>
      <c r="H8">
        <v>278.17</v>
      </c>
      <c r="I8">
        <f t="shared" si="1"/>
        <v>39.514385341065889</v>
      </c>
      <c r="J8">
        <f t="shared" si="2"/>
        <v>3.9976064355482404</v>
      </c>
      <c r="K8">
        <f>F8*J8*(C8+B8)</f>
        <v>1.5259543357581675</v>
      </c>
      <c r="L8" s="25">
        <v>6</v>
      </c>
      <c r="N8">
        <f t="shared" si="3"/>
        <v>0</v>
      </c>
      <c r="O8">
        <f t="shared" si="4"/>
        <v>0</v>
      </c>
    </row>
    <row r="9" spans="1:17" x14ac:dyDescent="0.25">
      <c r="A9" s="24">
        <v>8</v>
      </c>
      <c r="B9">
        <v>0.104</v>
      </c>
      <c r="C9">
        <v>0.32100000000000001</v>
      </c>
      <c r="D9">
        <v>0.83</v>
      </c>
      <c r="E9">
        <v>0.4</v>
      </c>
      <c r="F9">
        <f t="shared" si="0"/>
        <v>0.50522352941176474</v>
      </c>
      <c r="G9">
        <v>140</v>
      </c>
      <c r="H9">
        <v>173.56</v>
      </c>
      <c r="I9">
        <f t="shared" si="1"/>
        <v>30.622471371332161</v>
      </c>
      <c r="J9">
        <f t="shared" si="2"/>
        <v>4.5603146601553117</v>
      </c>
      <c r="K9">
        <f>F9*J9*(C9+B9)</f>
        <v>0.97919076382854864</v>
      </c>
      <c r="L9" s="25">
        <v>6</v>
      </c>
      <c r="M9">
        <f>K9+K8</f>
        <v>2.5051450995867164</v>
      </c>
      <c r="N9">
        <f t="shared" si="3"/>
        <v>0.38467656056311145</v>
      </c>
      <c r="O9">
        <f t="shared" si="4"/>
        <v>0.29356315843534875</v>
      </c>
    </row>
    <row r="10" spans="1:17" x14ac:dyDescent="0.25">
      <c r="A10" s="25" t="s">
        <v>70</v>
      </c>
      <c r="B10">
        <v>6.4399999999999999E-2</v>
      </c>
      <c r="C10">
        <v>0.1</v>
      </c>
      <c r="D10">
        <v>0.83</v>
      </c>
      <c r="E10">
        <v>0.4</v>
      </c>
      <c r="F10">
        <f t="shared" si="0"/>
        <v>0.56844282238442834</v>
      </c>
      <c r="G10">
        <v>62.83</v>
      </c>
      <c r="H10">
        <v>85.66</v>
      </c>
      <c r="I10">
        <f t="shared" si="1"/>
        <v>17.335685082921547</v>
      </c>
      <c r="J10">
        <f t="shared" si="2"/>
        <v>5.8368521388695731</v>
      </c>
      <c r="K10">
        <f>F10*J10*(C10+B10)</f>
        <v>0.54546550608163946</v>
      </c>
      <c r="L10" s="25">
        <v>7</v>
      </c>
      <c r="M10">
        <f>K10</f>
        <v>0.54546550608163946</v>
      </c>
      <c r="N10">
        <f t="shared" si="3"/>
        <v>0.13922546016787352</v>
      </c>
      <c r="O10">
        <f t="shared" si="4"/>
        <v>0.10624891145347094</v>
      </c>
    </row>
    <row r="11" spans="1:17" x14ac:dyDescent="0.25">
      <c r="A11" s="25" t="s">
        <v>71</v>
      </c>
      <c r="B11">
        <v>8.1799999999999998E-2</v>
      </c>
      <c r="C11">
        <v>0.41799999999999998</v>
      </c>
      <c r="D11">
        <v>0.83</v>
      </c>
      <c r="E11">
        <v>0.4</v>
      </c>
      <c r="F11">
        <f t="shared" si="0"/>
        <v>0.47037615046018416</v>
      </c>
      <c r="G11">
        <v>155</v>
      </c>
      <c r="H11">
        <v>157.74</v>
      </c>
      <c r="I11">
        <f t="shared" si="1"/>
        <v>32.633018125430311</v>
      </c>
      <c r="J11">
        <f t="shared" si="2"/>
        <v>4.4181613631629189</v>
      </c>
      <c r="K11">
        <f>F11*J11*(C11+B11)</f>
        <v>1.0386832275114235</v>
      </c>
      <c r="L11" s="25">
        <v>8</v>
      </c>
      <c r="M11">
        <f>K11</f>
        <v>1.0386832275114235</v>
      </c>
      <c r="N11">
        <f t="shared" si="3"/>
        <v>0.21389265918079767</v>
      </c>
      <c r="O11">
        <f t="shared" si="4"/>
        <v>0.1632306488945765</v>
      </c>
    </row>
    <row r="12" spans="1:17" x14ac:dyDescent="0.25">
      <c r="A12">
        <v>9</v>
      </c>
      <c r="B12">
        <v>0.17430000000000001</v>
      </c>
      <c r="C12">
        <v>0.43209999999999998</v>
      </c>
      <c r="D12">
        <v>0.83</v>
      </c>
      <c r="E12">
        <v>0.4</v>
      </c>
      <c r="F12">
        <f t="shared" si="0"/>
        <v>0.52359663588390493</v>
      </c>
      <c r="G12">
        <v>140</v>
      </c>
      <c r="H12">
        <v>225.59</v>
      </c>
      <c r="I12">
        <f t="shared" si="1"/>
        <v>32.591115726971296</v>
      </c>
      <c r="J12">
        <f t="shared" si="2"/>
        <v>4.4210242172836729</v>
      </c>
      <c r="K12">
        <f>F12*J12*(C12+B12)</f>
        <v>1.4037149782055216</v>
      </c>
      <c r="L12" s="25">
        <v>9</v>
      </c>
      <c r="M12">
        <f>K12</f>
        <v>1.4037149782055216</v>
      </c>
      <c r="N12">
        <f t="shared" si="3"/>
        <v>0.26145267523585169</v>
      </c>
      <c r="O12">
        <f t="shared" si="4"/>
        <v>0.19952573406410012</v>
      </c>
    </row>
    <row r="13" spans="1:17" x14ac:dyDescent="0.25">
      <c r="A13">
        <v>10</v>
      </c>
      <c r="B13">
        <v>9.3299999999999994E-2</v>
      </c>
      <c r="C13">
        <v>0.42559999999999998</v>
      </c>
      <c r="D13">
        <v>0.83</v>
      </c>
      <c r="E13">
        <v>0.4</v>
      </c>
      <c r="F13">
        <f t="shared" si="0"/>
        <v>0.47731547504336103</v>
      </c>
      <c r="G13">
        <v>140</v>
      </c>
      <c r="H13">
        <v>204.93</v>
      </c>
      <c r="I13">
        <f t="shared" si="1"/>
        <v>34.8507487863668</v>
      </c>
      <c r="J13">
        <f t="shared" si="2"/>
        <v>4.2722699174141159</v>
      </c>
      <c r="K13">
        <f>F13*J13*(C13+B13)</f>
        <v>1.0581515408752109</v>
      </c>
      <c r="L13" s="25">
        <v>10</v>
      </c>
      <c r="M13">
        <f>K13</f>
        <v>1.0581515408752109</v>
      </c>
      <c r="N13">
        <f t="shared" si="3"/>
        <v>0.21655707644114763</v>
      </c>
      <c r="O13">
        <f t="shared" si="4"/>
        <v>0.16526397981859489</v>
      </c>
    </row>
    <row r="14" spans="1:17" x14ac:dyDescent="0.25">
      <c r="A14">
        <v>11</v>
      </c>
      <c r="B14">
        <v>0.1246</v>
      </c>
      <c r="C14">
        <v>0.56569999999999998</v>
      </c>
      <c r="D14">
        <v>0.83</v>
      </c>
      <c r="E14">
        <v>0.4</v>
      </c>
      <c r="F14">
        <f>((B14*D14)+(E14*C14))/(B14+C14)</f>
        <v>0.47761552947993624</v>
      </c>
      <c r="G14">
        <v>140</v>
      </c>
      <c r="H14">
        <v>247.31</v>
      </c>
      <c r="I14">
        <f t="shared" si="1"/>
        <v>37.486969976660596</v>
      </c>
      <c r="J14">
        <f t="shared" si="2"/>
        <v>4.112079724736005</v>
      </c>
      <c r="K14">
        <f>F14*J14*(C14+B14)</f>
        <v>1.3557444610860114</v>
      </c>
      <c r="L14" s="25">
        <v>11</v>
      </c>
      <c r="N14">
        <f t="shared" si="3"/>
        <v>0</v>
      </c>
      <c r="O14">
        <f t="shared" si="4"/>
        <v>0</v>
      </c>
    </row>
    <row r="15" spans="1:17" x14ac:dyDescent="0.25">
      <c r="A15">
        <v>12</v>
      </c>
      <c r="B15">
        <v>0.106</v>
      </c>
      <c r="C15">
        <v>0.33200000000000002</v>
      </c>
      <c r="D15">
        <v>0.83</v>
      </c>
      <c r="E15">
        <v>0.4</v>
      </c>
      <c r="F15">
        <f>((B15*D15)+(E15*C15))/(B15+C15)</f>
        <v>0.50406392694063917</v>
      </c>
      <c r="G15">
        <v>140</v>
      </c>
      <c r="H15">
        <v>175.98</v>
      </c>
      <c r="I15">
        <f t="shared" si="1"/>
        <v>30.869128894528341</v>
      </c>
      <c r="J15">
        <f t="shared" si="2"/>
        <v>4.5423321376904804</v>
      </c>
      <c r="K15">
        <f>F15*J15*(C15+B15)</f>
        <v>1.0028560893593041</v>
      </c>
      <c r="L15" s="25">
        <v>11</v>
      </c>
      <c r="M15">
        <f>K15+K14</f>
        <v>2.3586005504453156</v>
      </c>
      <c r="N15">
        <f t="shared" si="3"/>
        <v>0.36952463582447598</v>
      </c>
      <c r="O15">
        <f t="shared" si="4"/>
        <v>0.28200007573507385</v>
      </c>
    </row>
    <row r="16" spans="1:17" x14ac:dyDescent="0.25">
      <c r="A16" s="7" t="s">
        <v>72</v>
      </c>
      <c r="B16">
        <v>6.6000000000000003E-2</v>
      </c>
      <c r="C16">
        <v>9.2100000000000001E-2</v>
      </c>
      <c r="D16">
        <v>0.83</v>
      </c>
      <c r="E16">
        <v>0.4</v>
      </c>
      <c r="F16">
        <f>((B16*D16)+(E16*C16))/(B16+C16)</f>
        <v>0.57950664136622387</v>
      </c>
      <c r="G16">
        <v>60</v>
      </c>
      <c r="H16">
        <v>80</v>
      </c>
      <c r="I16">
        <f t="shared" si="1"/>
        <v>16.363325593124117</v>
      </c>
      <c r="J16">
        <f t="shared" si="2"/>
        <v>5.9626456317125118</v>
      </c>
      <c r="K16">
        <f>F16*J16*(C16+B16)</f>
        <v>0.54629759277750034</v>
      </c>
      <c r="L16" s="25">
        <v>13</v>
      </c>
      <c r="M16">
        <f>K16</f>
        <v>0.54629759277750034</v>
      </c>
      <c r="N16">
        <f t="shared" si="3"/>
        <v>0.1393670129251251</v>
      </c>
      <c r="O16">
        <f t="shared" si="4"/>
        <v>0.10635693642500335</v>
      </c>
    </row>
    <row r="17" spans="1:15" x14ac:dyDescent="0.25">
      <c r="A17">
        <v>13</v>
      </c>
      <c r="B17">
        <v>0.17530000000000001</v>
      </c>
      <c r="C17">
        <v>0.42709999999999998</v>
      </c>
      <c r="D17">
        <v>0.83</v>
      </c>
      <c r="E17">
        <v>0.4</v>
      </c>
      <c r="F17">
        <f>((B17*D17)+(E17*C17))/(B17+C17)</f>
        <v>0.5251311420982735</v>
      </c>
      <c r="G17">
        <v>140</v>
      </c>
      <c r="H17">
        <v>174.92</v>
      </c>
      <c r="I17">
        <f t="shared" si="1"/>
        <v>29.402670314700959</v>
      </c>
      <c r="J17">
        <f t="shared" si="2"/>
        <v>4.6516111405298695</v>
      </c>
      <c r="K17">
        <f>F17*J17*(C17+B17)</f>
        <v>1.4714860165840782</v>
      </c>
      <c r="L17" s="25">
        <v>15</v>
      </c>
      <c r="M17">
        <f>K17</f>
        <v>1.4714860165840782</v>
      </c>
      <c r="N17">
        <f t="shared" si="3"/>
        <v>0.26980162446428924</v>
      </c>
      <c r="O17">
        <f t="shared" si="4"/>
        <v>0.20589717479219818</v>
      </c>
    </row>
    <row r="18" spans="1:15" x14ac:dyDescent="0.25">
      <c r="A18" s="7" t="s">
        <v>73</v>
      </c>
      <c r="B18">
        <v>6.6000000000000003E-2</v>
      </c>
      <c r="C18">
        <v>0.1</v>
      </c>
      <c r="D18">
        <v>0.83</v>
      </c>
      <c r="E18">
        <v>0.4</v>
      </c>
      <c r="F18">
        <f>((B18*D18)+(E18*C18))/(B18+C18)</f>
        <v>0.57096385542168671</v>
      </c>
      <c r="G18">
        <v>63</v>
      </c>
      <c r="H18">
        <v>80</v>
      </c>
      <c r="I18">
        <f t="shared" si="1"/>
        <v>16.802415808737468</v>
      </c>
      <c r="J18">
        <f t="shared" si="2"/>
        <v>5.9051057585623576</v>
      </c>
      <c r="K18">
        <f>F18*J18*(C18+B18)</f>
        <v>0.55968592379654025</v>
      </c>
      <c r="L18" s="25">
        <v>14</v>
      </c>
      <c r="M18">
        <f>K18</f>
        <v>0.55968592379654025</v>
      </c>
      <c r="N18">
        <f t="shared" si="3"/>
        <v>0.1416348271648874</v>
      </c>
      <c r="O18">
        <f t="shared" si="4"/>
        <v>0.10808760259815081</v>
      </c>
    </row>
    <row r="19" spans="1:15" x14ac:dyDescent="0.25">
      <c r="A19">
        <v>14</v>
      </c>
      <c r="B19">
        <v>0.10150000000000001</v>
      </c>
      <c r="C19">
        <v>0.4677</v>
      </c>
      <c r="D19">
        <v>0.83</v>
      </c>
      <c r="E19">
        <v>0.4</v>
      </c>
      <c r="F19">
        <f>((B19*D19)+(E19*C19))/(B19+C19)</f>
        <v>0.47667779339423755</v>
      </c>
      <c r="G19">
        <v>140</v>
      </c>
      <c r="H19">
        <v>216.1</v>
      </c>
      <c r="I19">
        <f t="shared" si="1"/>
        <v>35.636667923242683</v>
      </c>
      <c r="J19">
        <f t="shared" si="2"/>
        <v>4.2230852324970511</v>
      </c>
      <c r="K19">
        <f>F19*J19*(C19+B19)</f>
        <v>1.1458286007072624</v>
      </c>
      <c r="L19" s="25">
        <v>16</v>
      </c>
      <c r="M19">
        <f>K19</f>
        <v>1.1458286007072624</v>
      </c>
      <c r="N19">
        <f t="shared" si="3"/>
        <v>0.22836010789096772</v>
      </c>
      <c r="O19">
        <f t="shared" si="4"/>
        <v>0.17427137862253755</v>
      </c>
    </row>
    <row r="20" spans="1:15" x14ac:dyDescent="0.25">
      <c r="A20">
        <v>15</v>
      </c>
      <c r="B20">
        <v>0.1477</v>
      </c>
      <c r="C20">
        <v>0.66749999999999998</v>
      </c>
      <c r="D20">
        <v>0.83</v>
      </c>
      <c r="E20">
        <v>0.4</v>
      </c>
      <c r="F20">
        <f>((B20*D20)+(E20*C20))/(B20+C20)</f>
        <v>0.47790848871442598</v>
      </c>
      <c r="G20">
        <v>140</v>
      </c>
      <c r="H20">
        <v>281.39</v>
      </c>
      <c r="I20">
        <f t="shared" si="1"/>
        <v>39.404027229316171</v>
      </c>
      <c r="J20">
        <f t="shared" si="2"/>
        <v>4.0036562960011413</v>
      </c>
      <c r="K20">
        <f>F20*J20*(C20+B20)</f>
        <v>1.5597884600153806</v>
      </c>
      <c r="L20" s="25">
        <v>17</v>
      </c>
      <c r="N20">
        <f t="shared" si="3"/>
        <v>0</v>
      </c>
      <c r="O20">
        <f t="shared" si="4"/>
        <v>0</v>
      </c>
    </row>
    <row r="21" spans="1:15" x14ac:dyDescent="0.25">
      <c r="A21" s="24">
        <v>16</v>
      </c>
      <c r="B21">
        <v>0.107</v>
      </c>
      <c r="C21">
        <v>0.32200000000000001</v>
      </c>
      <c r="D21">
        <v>0.83</v>
      </c>
      <c r="E21">
        <v>0.4</v>
      </c>
      <c r="F21">
        <f>((B21*D21)+(E21*C21))/(B21+C21)</f>
        <v>0.5072494172494173</v>
      </c>
      <c r="G21">
        <v>140</v>
      </c>
      <c r="H21">
        <v>174.57</v>
      </c>
      <c r="I21">
        <f t="shared" si="1"/>
        <v>30.55355990395686</v>
      </c>
      <c r="J21">
        <f t="shared" si="2"/>
        <v>4.5653668078164866</v>
      </c>
      <c r="K21">
        <f>F21*J21*(C21+B21)</f>
        <v>0.99346947104894578</v>
      </c>
      <c r="L21" s="25">
        <v>17</v>
      </c>
      <c r="M21">
        <f>K21+K20</f>
        <v>2.5532579310643264</v>
      </c>
      <c r="N21">
        <f t="shared" si="3"/>
        <v>0.38958622590711689</v>
      </c>
      <c r="O21">
        <f t="shared" si="4"/>
        <v>0.29730993433231773</v>
      </c>
    </row>
    <row r="22" spans="1:15" x14ac:dyDescent="0.25">
      <c r="A22" s="7" t="s">
        <v>74</v>
      </c>
      <c r="B22">
        <v>6.5299999999999997E-2</v>
      </c>
      <c r="C22">
        <v>0.1</v>
      </c>
      <c r="D22">
        <v>0.83</v>
      </c>
      <c r="E22">
        <v>0.4</v>
      </c>
      <c r="F22">
        <f>((B22*D22)+(E22*C22))/(B22+C22)</f>
        <v>0.5698669086509377</v>
      </c>
      <c r="G22">
        <v>62.83</v>
      </c>
      <c r="H22">
        <v>80</v>
      </c>
      <c r="I22">
        <f t="shared" si="1"/>
        <v>16.829968086871631</v>
      </c>
      <c r="J22">
        <f t="shared" si="2"/>
        <v>5.9015360867817108</v>
      </c>
      <c r="K22">
        <f>F22*J22*(C22+B22)</f>
        <v>0.55591879783875042</v>
      </c>
      <c r="L22" s="25">
        <v>18</v>
      </c>
      <c r="M22">
        <f>K22</f>
        <v>0.55591879783875042</v>
      </c>
      <c r="N22">
        <f t="shared" si="3"/>
        <v>0.14099856963674118</v>
      </c>
      <c r="O22">
        <f t="shared" si="4"/>
        <v>0.10760204722855024</v>
      </c>
    </row>
    <row r="23" spans="1:15" x14ac:dyDescent="0.25">
      <c r="A23" s="7" t="s">
        <v>75</v>
      </c>
      <c r="B23">
        <v>8.0399999999999999E-2</v>
      </c>
      <c r="C23">
        <v>0.41799999999999998</v>
      </c>
      <c r="D23">
        <v>0.83</v>
      </c>
      <c r="E23">
        <v>0.4</v>
      </c>
      <c r="F23">
        <f>((B23*D23)+(E23*C23))/(B23+C23)</f>
        <v>0.46936597110754424</v>
      </c>
      <c r="G23">
        <v>155</v>
      </c>
      <c r="H23">
        <v>161.69999999999999</v>
      </c>
      <c r="I23">
        <f t="shared" si="1"/>
        <v>33.03170972767132</v>
      </c>
      <c r="J23">
        <f t="shared" si="2"/>
        <v>4.3911255356403025</v>
      </c>
      <c r="K23">
        <f>F23*J23*(C23+B23)</f>
        <v>1.0272247788034072</v>
      </c>
      <c r="L23" s="25">
        <v>19</v>
      </c>
      <c r="M23">
        <f>K23</f>
        <v>1.0272247788034072</v>
      </c>
      <c r="N23">
        <f t="shared" si="3"/>
        <v>0.21231668525254008</v>
      </c>
      <c r="O23">
        <f t="shared" si="4"/>
        <v>0.16202795569353043</v>
      </c>
    </row>
    <row r="24" spans="1:15" x14ac:dyDescent="0.25">
      <c r="A24">
        <v>17</v>
      </c>
      <c r="B24">
        <v>0.17399999999999999</v>
      </c>
      <c r="C24">
        <v>0.432</v>
      </c>
      <c r="D24">
        <v>0.83</v>
      </c>
      <c r="E24">
        <v>0.4</v>
      </c>
      <c r="F24">
        <f>((B24*D24)+(E24*C24))/(B24+C24)</f>
        <v>0.52346534653465349</v>
      </c>
      <c r="G24">
        <v>140</v>
      </c>
      <c r="H24">
        <v>225.6</v>
      </c>
      <c r="I24">
        <f t="shared" si="1"/>
        <v>32.600926030396963</v>
      </c>
      <c r="J24">
        <f t="shared" si="2"/>
        <v>4.4203535904786859</v>
      </c>
      <c r="K24">
        <f>F24*J24*(C24+B24)</f>
        <v>1.4022245659716486</v>
      </c>
      <c r="L24" s="25" t="s">
        <v>76</v>
      </c>
      <c r="M24">
        <f>K24</f>
        <v>1.4022245659716486</v>
      </c>
      <c r="N24">
        <f t="shared" si="3"/>
        <v>0.26126757533502049</v>
      </c>
      <c r="O24">
        <f t="shared" si="4"/>
        <v>0.19938447640224904</v>
      </c>
    </row>
    <row r="25" spans="1:15" x14ac:dyDescent="0.25">
      <c r="A25">
        <v>18</v>
      </c>
      <c r="B25">
        <v>9.2799999999999994E-2</v>
      </c>
      <c r="C25">
        <v>0.42699999999999999</v>
      </c>
      <c r="D25">
        <v>0.83</v>
      </c>
      <c r="E25">
        <v>0.4</v>
      </c>
      <c r="F25">
        <f>((B25*D25)+(E25*C25))/(B25+C25)</f>
        <v>0.47676798768757206</v>
      </c>
      <c r="G25">
        <v>140</v>
      </c>
      <c r="H25">
        <v>203.21</v>
      </c>
      <c r="I25">
        <f t="shared" si="1"/>
        <v>34.78099336280043</v>
      </c>
      <c r="J25">
        <f t="shared" si="2"/>
        <v>4.276696685581781</v>
      </c>
      <c r="K25">
        <f>F25*J25*(C25+B25)</f>
        <v>1.0598680794076192</v>
      </c>
      <c r="L25" s="25" t="s">
        <v>77</v>
      </c>
      <c r="M25">
        <f>K25</f>
        <v>1.0598680794076192</v>
      </c>
      <c r="N25">
        <f t="shared" si="3"/>
        <v>0.21679121312252181</v>
      </c>
      <c r="O25">
        <f t="shared" si="4"/>
        <v>0.16544265954784362</v>
      </c>
    </row>
    <row r="26" spans="1:15" x14ac:dyDescent="0.25">
      <c r="A26">
        <v>19</v>
      </c>
      <c r="B26">
        <v>0.123</v>
      </c>
      <c r="C26">
        <v>0.56599999999999995</v>
      </c>
      <c r="D26">
        <v>0.83</v>
      </c>
      <c r="E26">
        <v>0.4</v>
      </c>
      <c r="F26">
        <f>((B26*D26)+(E26*C26))/(B26+C26)</f>
        <v>0.47676342525399135</v>
      </c>
      <c r="G26">
        <v>140</v>
      </c>
      <c r="I26">
        <f t="shared" si="1"/>
        <v>0</v>
      </c>
      <c r="J26">
        <f t="shared" si="2"/>
        <v>9.6267913254528423</v>
      </c>
      <c r="K26">
        <f>F26*J26*(C26+B26)</f>
        <v>3.1623046824980041</v>
      </c>
      <c r="L26" s="25">
        <v>21</v>
      </c>
      <c r="N26">
        <f t="shared" si="3"/>
        <v>0</v>
      </c>
      <c r="O26">
        <f t="shared" si="4"/>
        <v>0</v>
      </c>
    </row>
    <row r="27" spans="1:15" x14ac:dyDescent="0.25">
      <c r="A27" s="7">
        <v>20</v>
      </c>
      <c r="B27" s="7">
        <v>0.106</v>
      </c>
      <c r="C27" s="7">
        <v>0.33100000000000002</v>
      </c>
      <c r="D27">
        <v>0.83</v>
      </c>
      <c r="E27">
        <v>0.4</v>
      </c>
      <c r="F27">
        <f>((B27*D27)+(E27*C27))/(B27+C27)</f>
        <v>0.50430205949656759</v>
      </c>
      <c r="G27">
        <v>140</v>
      </c>
      <c r="I27">
        <f t="shared" si="1"/>
        <v>0</v>
      </c>
      <c r="J27">
        <f t="shared" si="2"/>
        <v>9.6267913254528423</v>
      </c>
      <c r="K27">
        <f>F27*J27*(C27+B27)</f>
        <v>2.121552272303298</v>
      </c>
      <c r="L27" s="25">
        <v>21</v>
      </c>
      <c r="M27">
        <f>K27+K26</f>
        <v>5.2838569548013021</v>
      </c>
      <c r="N27">
        <f t="shared" si="3"/>
        <v>0.63266600889007918</v>
      </c>
      <c r="O27">
        <f t="shared" si="4"/>
        <v>0.48281452743723102</v>
      </c>
    </row>
    <row r="28" spans="1:15" x14ac:dyDescent="0.25">
      <c r="A28" s="7" t="s">
        <v>76</v>
      </c>
      <c r="B28" s="7">
        <v>6.6000000000000003E-2</v>
      </c>
      <c r="C28" s="7">
        <v>9.1700000000000004E-2</v>
      </c>
      <c r="D28">
        <v>0.83</v>
      </c>
      <c r="E28">
        <v>0.4</v>
      </c>
      <c r="F28">
        <f>((B28*D28)+(E28*C28))/(B28+C28)</f>
        <v>0.57996195307545984</v>
      </c>
      <c r="G28">
        <v>60</v>
      </c>
      <c r="I28">
        <f t="shared" si="1"/>
        <v>0</v>
      </c>
      <c r="J28">
        <f t="shared" si="2"/>
        <v>9.6267913254528423</v>
      </c>
      <c r="K28">
        <f>F28*J28*(C28+B28)</f>
        <v>0.88046633462591717</v>
      </c>
      <c r="L28" s="25">
        <v>22</v>
      </c>
      <c r="M28">
        <f>K28</f>
        <v>0.88046633462591717</v>
      </c>
      <c r="N28">
        <f t="shared" si="3"/>
        <v>0.19157947139548576</v>
      </c>
      <c r="O28">
        <f t="shared" si="4"/>
        <v>0.14620249965816748</v>
      </c>
    </row>
    <row r="29" spans="1:15" x14ac:dyDescent="0.25">
      <c r="A29" s="7">
        <v>21</v>
      </c>
      <c r="B29" s="7">
        <v>0.107</v>
      </c>
      <c r="C29" s="7">
        <v>0.32700000000000001</v>
      </c>
      <c r="D29">
        <v>0.83</v>
      </c>
      <c r="E29">
        <v>0.4</v>
      </c>
      <c r="F29">
        <f>((B29*D29)+(E29*C29))/(B29+C29)</f>
        <v>0.50601382488479263</v>
      </c>
      <c r="G29">
        <v>140</v>
      </c>
      <c r="I29">
        <f t="shared" si="1"/>
        <v>0</v>
      </c>
      <c r="J29">
        <f t="shared" si="2"/>
        <v>9.6267913254528423</v>
      </c>
      <c r="K29">
        <f>F29*J29*(C29+B29)</f>
        <v>2.1141396429826989</v>
      </c>
      <c r="L29" s="25">
        <v>24</v>
      </c>
      <c r="M29">
        <f>K29</f>
        <v>2.1141396429826989</v>
      </c>
      <c r="N29">
        <f t="shared" si="3"/>
        <v>0.34352861139026597</v>
      </c>
      <c r="O29">
        <f t="shared" si="4"/>
        <v>0.26216139612200418</v>
      </c>
    </row>
    <row r="30" spans="1:15" x14ac:dyDescent="0.25">
      <c r="A30" s="7" t="s">
        <v>78</v>
      </c>
      <c r="B30" s="7">
        <v>6.6000000000000003E-2</v>
      </c>
      <c r="C30" s="7">
        <v>0.1</v>
      </c>
      <c r="D30">
        <v>0.83</v>
      </c>
      <c r="E30">
        <v>0.4</v>
      </c>
      <c r="F30">
        <f>((B30*D30)+(E30*C30))/(B30+C30)</f>
        <v>0.57096385542168671</v>
      </c>
      <c r="G30">
        <v>63</v>
      </c>
      <c r="I30">
        <f t="shared" si="1"/>
        <v>0</v>
      </c>
      <c r="J30">
        <f t="shared" si="2"/>
        <v>9.6267913254528423</v>
      </c>
      <c r="K30">
        <f>F30*J30*(C30+B30)</f>
        <v>0.91242728182642041</v>
      </c>
      <c r="L30" s="25">
        <v>23</v>
      </c>
      <c r="M30">
        <f>K30</f>
        <v>0.91242728182642041</v>
      </c>
      <c r="N30">
        <f t="shared" si="3"/>
        <v>0.19618809138278129</v>
      </c>
      <c r="O30">
        <f t="shared" si="4"/>
        <v>0.14971953495014956</v>
      </c>
    </row>
    <row r="31" spans="1:15" x14ac:dyDescent="0.25">
      <c r="A31" s="7">
        <v>22</v>
      </c>
      <c r="B31" s="7">
        <v>0.10199999999999999</v>
      </c>
      <c r="C31" s="7">
        <v>0.46700000000000003</v>
      </c>
      <c r="D31">
        <v>0.83</v>
      </c>
      <c r="E31">
        <v>0.4</v>
      </c>
      <c r="F31">
        <f>((B31*D31)+(E31*C31))/(B31+C31)</f>
        <v>0.47708260105448158</v>
      </c>
      <c r="G31">
        <v>140</v>
      </c>
      <c r="I31">
        <f t="shared" si="1"/>
        <v>0</v>
      </c>
      <c r="J31">
        <f t="shared" si="2"/>
        <v>9.6267913254528423</v>
      </c>
      <c r="K31">
        <f>F31*J31*(C31+B31)</f>
        <v>2.613288773207429</v>
      </c>
      <c r="L31" s="25">
        <v>25</v>
      </c>
      <c r="M31">
        <f>K31</f>
        <v>2.613288773207429</v>
      </c>
      <c r="N31">
        <f t="shared" si="3"/>
        <v>0.39566903985017465</v>
      </c>
      <c r="O31">
        <f t="shared" si="4"/>
        <v>0.30195199016926449</v>
      </c>
    </row>
    <row r="32" spans="1:15" x14ac:dyDescent="0.25">
      <c r="A32" s="7">
        <v>23</v>
      </c>
      <c r="B32" s="7">
        <v>0.14499999999999999</v>
      </c>
      <c r="C32" s="7">
        <v>0.66800000000000004</v>
      </c>
      <c r="D32">
        <v>0.83</v>
      </c>
      <c r="E32">
        <v>0.4</v>
      </c>
      <c r="F32">
        <f>((B32*D32)+(E32*C32))/(B32+C32)</f>
        <v>0.47669126691266916</v>
      </c>
      <c r="G32">
        <v>140</v>
      </c>
      <c r="I32">
        <f t="shared" si="1"/>
        <v>0</v>
      </c>
      <c r="J32">
        <f t="shared" si="2"/>
        <v>9.6267913254528423</v>
      </c>
      <c r="K32">
        <f>F32*J32*(C32+B32)</f>
        <v>3.7308629781792493</v>
      </c>
      <c r="L32" s="25">
        <v>26</v>
      </c>
      <c r="N32">
        <f t="shared" si="3"/>
        <v>0</v>
      </c>
      <c r="O32">
        <f t="shared" si="4"/>
        <v>0</v>
      </c>
    </row>
    <row r="33" spans="1:15" x14ac:dyDescent="0.25">
      <c r="A33" s="7">
        <v>24</v>
      </c>
      <c r="B33" s="7">
        <v>0.104</v>
      </c>
      <c r="C33" s="7">
        <v>0.32200000000000001</v>
      </c>
      <c r="D33">
        <v>0.83</v>
      </c>
      <c r="E33">
        <v>0.4</v>
      </c>
      <c r="F33">
        <f>((B33*D33)+(E33*C33))/(B33+C33)</f>
        <v>0.50497652582159624</v>
      </c>
      <c r="G33">
        <v>140</v>
      </c>
      <c r="I33">
        <f t="shared" si="1"/>
        <v>0</v>
      </c>
      <c r="J33">
        <f t="shared" si="2"/>
        <v>9.6267913254528423</v>
      </c>
      <c r="K33">
        <f>F33*J33*(C33+B33)</f>
        <v>2.0709153499314152</v>
      </c>
      <c r="L33" s="25">
        <v>26</v>
      </c>
      <c r="M33">
        <f>K33+K32</f>
        <v>5.8017783281106645</v>
      </c>
      <c r="N33">
        <f t="shared" si="3"/>
        <v>0.67336089009602429</v>
      </c>
      <c r="O33">
        <f t="shared" si="4"/>
        <v>0.51387053418087181</v>
      </c>
    </row>
    <row r="34" spans="1:15" x14ac:dyDescent="0.25">
      <c r="A34" s="7" t="s">
        <v>79</v>
      </c>
      <c r="B34" s="7">
        <v>6.6000000000000003E-2</v>
      </c>
      <c r="C34" s="7">
        <v>0.1</v>
      </c>
      <c r="D34">
        <v>0.83</v>
      </c>
      <c r="E34" s="7">
        <v>0.4</v>
      </c>
      <c r="F34">
        <f>((B34*D34)+(E34*C34))/(B34+C34)</f>
        <v>0.57096385542168671</v>
      </c>
      <c r="G34" s="7">
        <v>62.83</v>
      </c>
      <c r="I34">
        <f t="shared" si="1"/>
        <v>0</v>
      </c>
      <c r="J34">
        <f t="shared" si="2"/>
        <v>9.6267913254528423</v>
      </c>
      <c r="K34">
        <f>F34*J34*(C34+B34)</f>
        <v>0.91242728182642041</v>
      </c>
      <c r="L34" s="25">
        <v>27</v>
      </c>
      <c r="M34">
        <f>K34</f>
        <v>0.91242728182642041</v>
      </c>
      <c r="N34">
        <f t="shared" si="3"/>
        <v>0.19618809138278129</v>
      </c>
      <c r="O34">
        <f t="shared" si="4"/>
        <v>0.14971953495014956</v>
      </c>
    </row>
    <row r="35" spans="1:15" x14ac:dyDescent="0.25">
      <c r="A35" s="7">
        <v>25</v>
      </c>
      <c r="B35" s="7">
        <v>0.08</v>
      </c>
      <c r="C35" s="7">
        <v>0.41799999999999998</v>
      </c>
      <c r="D35">
        <v>0.83</v>
      </c>
      <c r="E35">
        <v>0.4</v>
      </c>
      <c r="F35">
        <f>((B35*D35)+(E35*C35))/(B35+C35)</f>
        <v>0.46907630522088362</v>
      </c>
      <c r="G35">
        <v>155</v>
      </c>
      <c r="I35">
        <f t="shared" si="1"/>
        <v>0</v>
      </c>
      <c r="J35">
        <f t="shared" si="2"/>
        <v>9.6267913254528423</v>
      </c>
      <c r="K35">
        <f>F35*J35*(C35+B35)</f>
        <v>2.2488184536257845</v>
      </c>
      <c r="L35" s="25">
        <v>28</v>
      </c>
      <c r="M35">
        <f>K35</f>
        <v>2.2488184536257845</v>
      </c>
      <c r="N35">
        <f t="shared" si="3"/>
        <v>0.35796733477153708</v>
      </c>
      <c r="O35">
        <f t="shared" si="4"/>
        <v>0.27318020432122336</v>
      </c>
    </row>
    <row r="36" spans="1:15" x14ac:dyDescent="0.25">
      <c r="A36" s="7">
        <v>26</v>
      </c>
      <c r="B36" s="7">
        <v>0.16600000000000001</v>
      </c>
      <c r="C36" s="7">
        <v>0.40100000000000002</v>
      </c>
      <c r="D36">
        <v>0.83</v>
      </c>
      <c r="E36">
        <v>0.4</v>
      </c>
      <c r="F36">
        <f>((B36*D36)+(E36*C36))/(B36+C36)</f>
        <v>0.52589065255731915</v>
      </c>
      <c r="I36" t="e">
        <f t="shared" si="1"/>
        <v>#DIV/0!</v>
      </c>
      <c r="J36" t="e">
        <f t="shared" si="2"/>
        <v>#DIV/0!</v>
      </c>
      <c r="K36" t="e">
        <f>F36*J36*(C36+B36)</f>
        <v>#DIV/0!</v>
      </c>
      <c r="L36" s="25">
        <v>29</v>
      </c>
      <c r="M36" t="e">
        <f>K36</f>
        <v>#DIV/0!</v>
      </c>
      <c r="N36" t="e">
        <f t="shared" si="3"/>
        <v>#DIV/0!</v>
      </c>
      <c r="O36" t="e">
        <f t="shared" si="4"/>
        <v>#DIV/0!</v>
      </c>
    </row>
    <row r="37" spans="1:15" x14ac:dyDescent="0.25">
      <c r="A37" s="7">
        <v>27</v>
      </c>
      <c r="B37" s="7">
        <v>9.2999999999999999E-2</v>
      </c>
      <c r="C37" s="7">
        <v>0.39600000000000002</v>
      </c>
      <c r="D37">
        <v>0.83</v>
      </c>
      <c r="E37">
        <v>0.4</v>
      </c>
      <c r="F37">
        <f>((B37*D37)+(E37*C37))/(B37+C37)</f>
        <v>0.48177914110429454</v>
      </c>
      <c r="I37" t="e">
        <f t="shared" si="1"/>
        <v>#DIV/0!</v>
      </c>
      <c r="J37" t="e">
        <f t="shared" si="2"/>
        <v>#DIV/0!</v>
      </c>
      <c r="K37" t="e">
        <f>F37*J37*(C37+B37)</f>
        <v>#DIV/0!</v>
      </c>
      <c r="L37" s="25">
        <v>30</v>
      </c>
      <c r="M37" t="e">
        <f>K37</f>
        <v>#DIV/0!</v>
      </c>
      <c r="N37" t="e">
        <f t="shared" si="3"/>
        <v>#DIV/0!</v>
      </c>
      <c r="O37" t="e">
        <f t="shared" si="4"/>
        <v>#DIV/0!</v>
      </c>
    </row>
    <row r="38" spans="1:15" x14ac:dyDescent="0.25">
      <c r="A38" s="7">
        <v>28</v>
      </c>
      <c r="B38" s="7">
        <v>0.123</v>
      </c>
      <c r="C38" s="7">
        <v>0.52600000000000002</v>
      </c>
      <c r="D38">
        <v>0.83</v>
      </c>
      <c r="E38">
        <v>0.4</v>
      </c>
      <c r="F38">
        <f>((B38*D38)+(E38*C38))/(B38+C38)</f>
        <v>0.48149460708782749</v>
      </c>
      <c r="I38" t="e">
        <f t="shared" si="1"/>
        <v>#DIV/0!</v>
      </c>
      <c r="J38" t="e">
        <f t="shared" si="2"/>
        <v>#DIV/0!</v>
      </c>
      <c r="K38" t="e">
        <f>F38*J38*(C38+B38)</f>
        <v>#DIV/0!</v>
      </c>
      <c r="L38" s="25">
        <v>31</v>
      </c>
      <c r="N38">
        <f t="shared" si="3"/>
        <v>0</v>
      </c>
      <c r="O38">
        <f t="shared" si="4"/>
        <v>0</v>
      </c>
    </row>
    <row r="39" spans="1:15" x14ac:dyDescent="0.25">
      <c r="A39" s="7">
        <v>29</v>
      </c>
      <c r="B39" s="7">
        <v>0.106</v>
      </c>
      <c r="C39" s="7">
        <v>0.308</v>
      </c>
      <c r="D39">
        <v>0.83</v>
      </c>
      <c r="E39">
        <v>0.4</v>
      </c>
      <c r="F39">
        <f>((B39*D39)+(E39*C39))/(B39+C39)</f>
        <v>0.51009661835748787</v>
      </c>
      <c r="I39" t="e">
        <f t="shared" si="1"/>
        <v>#DIV/0!</v>
      </c>
      <c r="J39" t="e">
        <f t="shared" si="2"/>
        <v>#DIV/0!</v>
      </c>
      <c r="K39" t="e">
        <f>F39*J39*(C39+B39)</f>
        <v>#DIV/0!</v>
      </c>
      <c r="L39" s="25">
        <v>31</v>
      </c>
      <c r="M39" t="e">
        <f>K39+K38</f>
        <v>#DIV/0!</v>
      </c>
      <c r="N39" t="e">
        <f t="shared" si="3"/>
        <v>#DIV/0!</v>
      </c>
      <c r="O39" t="e">
        <f t="shared" si="4"/>
        <v>#DIV/0!</v>
      </c>
    </row>
    <row r="40" spans="1:15" x14ac:dyDescent="0.25">
      <c r="A40" s="7" t="s">
        <v>80</v>
      </c>
      <c r="B40" s="7">
        <v>6.0999999999999999E-2</v>
      </c>
      <c r="C40" s="7">
        <v>8.5599999999999996E-2</v>
      </c>
      <c r="D40">
        <v>0.83</v>
      </c>
      <c r="E40" s="7">
        <v>0.4</v>
      </c>
      <c r="F40">
        <f>((B40*D40)+(E40*C40))/(B40+C40)</f>
        <v>0.57892223738062754</v>
      </c>
      <c r="I40" t="e">
        <f t="shared" si="1"/>
        <v>#DIV/0!</v>
      </c>
      <c r="J40" t="e">
        <f t="shared" si="2"/>
        <v>#DIV/0!</v>
      </c>
      <c r="K40" t="e">
        <f>F40*J40*(C40+B40)</f>
        <v>#DIV/0!</v>
      </c>
      <c r="L40" s="25">
        <v>32</v>
      </c>
      <c r="M40" t="e">
        <f>K40</f>
        <v>#DIV/0!</v>
      </c>
      <c r="N40" t="e">
        <f t="shared" si="3"/>
        <v>#DIV/0!</v>
      </c>
      <c r="O40" t="e">
        <f t="shared" si="4"/>
        <v>#DIV/0!</v>
      </c>
    </row>
    <row r="41" spans="1:15" x14ac:dyDescent="0.25">
      <c r="A41" s="7">
        <v>30</v>
      </c>
      <c r="B41" s="7">
        <v>0.107</v>
      </c>
      <c r="C41" s="7">
        <v>0.30399999999999999</v>
      </c>
      <c r="D41">
        <v>0.83</v>
      </c>
      <c r="E41">
        <v>0.4</v>
      </c>
      <c r="F41">
        <f>((B41*D41)+(E41*C41))/(B41+C41)</f>
        <v>0.51194647201946475</v>
      </c>
      <c r="I41" t="e">
        <f t="shared" si="1"/>
        <v>#DIV/0!</v>
      </c>
      <c r="J41" t="e">
        <f t="shared" si="2"/>
        <v>#DIV/0!</v>
      </c>
      <c r="K41" t="e">
        <f>F41*J41*(C41+B41)</f>
        <v>#DIV/0!</v>
      </c>
      <c r="L41" s="25">
        <v>34</v>
      </c>
      <c r="M41" t="e">
        <f>K41</f>
        <v>#DIV/0!</v>
      </c>
      <c r="N41" t="e">
        <f t="shared" si="3"/>
        <v>#DIV/0!</v>
      </c>
      <c r="O41" t="e">
        <f t="shared" si="4"/>
        <v>#DIV/0!</v>
      </c>
    </row>
    <row r="42" spans="1:15" x14ac:dyDescent="0.25">
      <c r="A42" s="7" t="s">
        <v>81</v>
      </c>
      <c r="B42" s="7">
        <v>6.0999999999999999E-2</v>
      </c>
      <c r="C42" s="7">
        <v>9.2999999999999999E-2</v>
      </c>
      <c r="D42">
        <v>0.83</v>
      </c>
      <c r="E42" s="7">
        <v>0.4</v>
      </c>
      <c r="F42">
        <f>((B42*D42)+(E42*C42))/(B42+C42)</f>
        <v>0.57032467532467523</v>
      </c>
      <c r="I42" t="e">
        <f t="shared" si="1"/>
        <v>#DIV/0!</v>
      </c>
      <c r="J42" t="e">
        <f t="shared" si="2"/>
        <v>#DIV/0!</v>
      </c>
      <c r="K42" t="e">
        <f>F42*J42*(C42+B42)</f>
        <v>#DIV/0!</v>
      </c>
      <c r="L42" s="25">
        <v>33</v>
      </c>
      <c r="M42" t="e">
        <f>K42</f>
        <v>#DIV/0!</v>
      </c>
      <c r="N42" t="e">
        <f t="shared" si="3"/>
        <v>#DIV/0!</v>
      </c>
      <c r="O42" t="e">
        <f t="shared" si="4"/>
        <v>#DIV/0!</v>
      </c>
    </row>
    <row r="43" spans="1:15" x14ac:dyDescent="0.25">
      <c r="A43" s="7">
        <v>31</v>
      </c>
      <c r="B43" s="7">
        <v>0.10100000000000001</v>
      </c>
      <c r="C43" s="7">
        <v>0.433</v>
      </c>
      <c r="D43">
        <v>0.83</v>
      </c>
      <c r="E43">
        <v>0.4</v>
      </c>
      <c r="F43">
        <f>((B43*D43)+(E43*C43))/(B43+C43)</f>
        <v>0.48132958801498132</v>
      </c>
      <c r="I43" t="e">
        <f t="shared" si="1"/>
        <v>#DIV/0!</v>
      </c>
      <c r="J43" t="e">
        <f t="shared" si="2"/>
        <v>#DIV/0!</v>
      </c>
      <c r="K43" t="e">
        <f>F43*J43*(C43+B43)</f>
        <v>#DIV/0!</v>
      </c>
      <c r="L43" s="25">
        <v>35</v>
      </c>
      <c r="M43" t="e">
        <f>K43</f>
        <v>#DIV/0!</v>
      </c>
      <c r="N43" t="e">
        <f t="shared" si="3"/>
        <v>#DIV/0!</v>
      </c>
      <c r="O43" t="e">
        <f t="shared" si="4"/>
        <v>#DIV/0!</v>
      </c>
    </row>
    <row r="44" spans="1:15" x14ac:dyDescent="0.25">
      <c r="A44" s="7">
        <v>32</v>
      </c>
      <c r="B44" s="7">
        <v>0.14499999999999999</v>
      </c>
      <c r="C44" s="7">
        <v>0.621</v>
      </c>
      <c r="D44">
        <v>0.83</v>
      </c>
      <c r="E44">
        <v>0.4</v>
      </c>
      <c r="F44">
        <f t="shared" ref="F44:F52" si="5">((B44*D44)+(E44*C44))/(B44+C44)</f>
        <v>0.48139686684073107</v>
      </c>
      <c r="I44" t="e">
        <f t="shared" si="1"/>
        <v>#DIV/0!</v>
      </c>
      <c r="J44" t="e">
        <f t="shared" si="2"/>
        <v>#DIV/0!</v>
      </c>
      <c r="K44" t="e">
        <f>F44*J44*(C44+B44)</f>
        <v>#DIV/0!</v>
      </c>
      <c r="L44" s="25">
        <v>36</v>
      </c>
      <c r="N44">
        <f t="shared" si="3"/>
        <v>0</v>
      </c>
      <c r="O44">
        <f t="shared" si="4"/>
        <v>0</v>
      </c>
    </row>
    <row r="45" spans="1:15" x14ac:dyDescent="0.25">
      <c r="A45" s="7">
        <v>33</v>
      </c>
      <c r="B45" s="7">
        <v>0.106</v>
      </c>
      <c r="C45" s="7">
        <v>0.29899999999999999</v>
      </c>
      <c r="D45">
        <v>0.83</v>
      </c>
      <c r="E45">
        <v>0.4</v>
      </c>
      <c r="F45">
        <f t="shared" si="5"/>
        <v>0.51254320987654323</v>
      </c>
      <c r="I45" t="e">
        <f t="shared" si="1"/>
        <v>#DIV/0!</v>
      </c>
      <c r="J45" t="e">
        <f t="shared" si="2"/>
        <v>#DIV/0!</v>
      </c>
      <c r="K45" t="e">
        <f>F45*J45*(C45+B45)</f>
        <v>#DIV/0!</v>
      </c>
      <c r="L45" s="25">
        <v>36</v>
      </c>
      <c r="M45" t="e">
        <f>K45+K44</f>
        <v>#DIV/0!</v>
      </c>
      <c r="N45" t="e">
        <f t="shared" si="3"/>
        <v>#DIV/0!</v>
      </c>
      <c r="O45" t="e">
        <f t="shared" si="4"/>
        <v>#DIV/0!</v>
      </c>
    </row>
    <row r="46" spans="1:15" x14ac:dyDescent="0.25">
      <c r="A46" s="7" t="s">
        <v>82</v>
      </c>
      <c r="B46" s="7">
        <v>6.13E-2</v>
      </c>
      <c r="C46" s="7">
        <v>9.2999999999999999E-2</v>
      </c>
      <c r="D46">
        <v>0.83</v>
      </c>
      <c r="E46" s="7">
        <v>0.4</v>
      </c>
      <c r="F46">
        <f t="shared" si="5"/>
        <v>0.57082955281918346</v>
      </c>
      <c r="G46" s="7">
        <v>62.83</v>
      </c>
      <c r="I46">
        <f t="shared" si="1"/>
        <v>0</v>
      </c>
      <c r="J46">
        <f t="shared" si="2"/>
        <v>9.6267913254528423</v>
      </c>
      <c r="K46">
        <f>F46*J46*(C46+B46)</f>
        <v>0.84791815315456098</v>
      </c>
      <c r="L46" s="25">
        <v>37</v>
      </c>
      <c r="M46">
        <f>K46</f>
        <v>0.84791815315456098</v>
      </c>
      <c r="N46">
        <f t="shared" si="3"/>
        <v>0.18682848384923309</v>
      </c>
      <c r="O46">
        <f t="shared" si="4"/>
        <v>0.14257681758457486</v>
      </c>
    </row>
    <row r="47" spans="1:15" x14ac:dyDescent="0.25">
      <c r="A47" s="7">
        <v>34</v>
      </c>
      <c r="B47" s="7">
        <v>7.5999999999999998E-2</v>
      </c>
      <c r="C47" s="7">
        <v>0.39300000000000002</v>
      </c>
      <c r="D47">
        <v>0.83</v>
      </c>
      <c r="E47">
        <v>0.4</v>
      </c>
      <c r="F47">
        <f t="shared" si="5"/>
        <v>0.46968017057569295</v>
      </c>
      <c r="G47">
        <v>155</v>
      </c>
      <c r="I47">
        <f t="shared" si="1"/>
        <v>0</v>
      </c>
      <c r="J47">
        <f t="shared" si="2"/>
        <v>9.6267913254528423</v>
      </c>
      <c r="K47">
        <f>F47*J47*(C47+B47)</f>
        <v>2.1205895931707524</v>
      </c>
      <c r="L47" s="25">
        <v>38</v>
      </c>
      <c r="M47">
        <f>K47</f>
        <v>2.1205895931707524</v>
      </c>
      <c r="N47">
        <f t="shared" si="3"/>
        <v>0.34422696239073297</v>
      </c>
      <c r="O47">
        <f t="shared" si="4"/>
        <v>0.2626943376796948</v>
      </c>
    </row>
    <row r="48" spans="1:15" x14ac:dyDescent="0.25">
      <c r="A48" s="7">
        <v>35</v>
      </c>
      <c r="B48" s="7">
        <v>0.16400000000000001</v>
      </c>
      <c r="C48" s="7">
        <v>0.40200000000000002</v>
      </c>
      <c r="D48">
        <v>0.83</v>
      </c>
      <c r="E48">
        <v>0.4</v>
      </c>
      <c r="F48">
        <f t="shared" si="5"/>
        <v>0.52459363957597172</v>
      </c>
      <c r="I48" t="e">
        <f t="shared" si="1"/>
        <v>#DIV/0!</v>
      </c>
      <c r="J48" t="e">
        <f t="shared" si="2"/>
        <v>#DIV/0!</v>
      </c>
      <c r="K48" t="e">
        <f>F48*J48*(C48+B48)</f>
        <v>#DIV/0!</v>
      </c>
      <c r="L48" s="25">
        <v>39</v>
      </c>
      <c r="M48" t="e">
        <f>K48</f>
        <v>#DIV/0!</v>
      </c>
      <c r="N48" t="e">
        <f t="shared" si="3"/>
        <v>#DIV/0!</v>
      </c>
      <c r="O48" t="e">
        <f t="shared" si="4"/>
        <v>#DIV/0!</v>
      </c>
    </row>
    <row r="49" spans="1:15" x14ac:dyDescent="0.25">
      <c r="A49" s="7">
        <v>36</v>
      </c>
      <c r="B49" s="7">
        <v>9.2999999999999999E-2</v>
      </c>
      <c r="C49" s="7">
        <v>0.48699999999999999</v>
      </c>
      <c r="D49">
        <v>0.83</v>
      </c>
      <c r="E49">
        <v>0.4</v>
      </c>
      <c r="F49">
        <f t="shared" si="5"/>
        <v>0.468948275862069</v>
      </c>
      <c r="I49" t="e">
        <f t="shared" si="1"/>
        <v>#DIV/0!</v>
      </c>
      <c r="J49" t="e">
        <f t="shared" si="2"/>
        <v>#DIV/0!</v>
      </c>
      <c r="K49" t="e">
        <f>F49*J49*(C49+B49)</f>
        <v>#DIV/0!</v>
      </c>
      <c r="L49" s="25">
        <v>40</v>
      </c>
      <c r="M49" t="e">
        <f>K49</f>
        <v>#DIV/0!</v>
      </c>
      <c r="N49" t="e">
        <f t="shared" si="3"/>
        <v>#DIV/0!</v>
      </c>
      <c r="O49" t="e">
        <f t="shared" si="4"/>
        <v>#DIV/0!</v>
      </c>
    </row>
    <row r="50" spans="1:15" x14ac:dyDescent="0.25">
      <c r="A50" s="7">
        <v>37</v>
      </c>
      <c r="B50" s="7">
        <v>0.11700000000000001</v>
      </c>
      <c r="C50" s="7">
        <v>0.52800000000000002</v>
      </c>
      <c r="D50">
        <v>0.83</v>
      </c>
      <c r="E50">
        <v>0.4</v>
      </c>
      <c r="F50">
        <f t="shared" si="5"/>
        <v>0.47800000000000004</v>
      </c>
      <c r="I50" t="e">
        <f t="shared" si="1"/>
        <v>#DIV/0!</v>
      </c>
      <c r="J50" t="e">
        <f t="shared" si="2"/>
        <v>#DIV/0!</v>
      </c>
      <c r="K50" t="e">
        <f>F50*J50*(C50+B50)</f>
        <v>#DIV/0!</v>
      </c>
      <c r="L50" s="25">
        <v>41</v>
      </c>
      <c r="N50">
        <f t="shared" si="3"/>
        <v>0</v>
      </c>
      <c r="O50">
        <f t="shared" si="4"/>
        <v>0</v>
      </c>
    </row>
    <row r="51" spans="1:15" x14ac:dyDescent="0.25">
      <c r="A51" s="7">
        <v>38</v>
      </c>
      <c r="B51" s="7">
        <v>0.105</v>
      </c>
      <c r="C51" s="7">
        <v>0.308</v>
      </c>
      <c r="D51">
        <v>0.83</v>
      </c>
      <c r="E51">
        <v>0.4</v>
      </c>
      <c r="F51">
        <f t="shared" si="5"/>
        <v>0.5093220338983051</v>
      </c>
      <c r="I51" t="e">
        <f t="shared" si="1"/>
        <v>#DIV/0!</v>
      </c>
      <c r="J51" t="e">
        <f t="shared" si="2"/>
        <v>#DIV/0!</v>
      </c>
      <c r="K51" t="e">
        <f>F51*J51*(C51+B51)</f>
        <v>#DIV/0!</v>
      </c>
      <c r="L51" s="25">
        <v>41</v>
      </c>
      <c r="M51" t="e">
        <f>K51+K50</f>
        <v>#DIV/0!</v>
      </c>
      <c r="N51" t="e">
        <f t="shared" si="3"/>
        <v>#DIV/0!</v>
      </c>
      <c r="O51" t="e">
        <f t="shared" si="4"/>
        <v>#DIV/0!</v>
      </c>
    </row>
    <row r="52" spans="1:15" x14ac:dyDescent="0.25">
      <c r="A52" s="7" t="s">
        <v>83</v>
      </c>
      <c r="B52" s="7">
        <v>6.2E-2</v>
      </c>
      <c r="C52" s="7">
        <v>8.5999999999999993E-2</v>
      </c>
      <c r="D52">
        <v>0.83</v>
      </c>
      <c r="E52" s="7">
        <v>0.4</v>
      </c>
      <c r="F52">
        <f t="shared" si="5"/>
        <v>0.58013513513513515</v>
      </c>
      <c r="I52" t="e">
        <f t="shared" si="1"/>
        <v>#DIV/0!</v>
      </c>
      <c r="J52" t="e">
        <f t="shared" si="2"/>
        <v>#DIV/0!</v>
      </c>
      <c r="K52" t="e">
        <f>F52*J52*(C52+B52)</f>
        <v>#DIV/0!</v>
      </c>
      <c r="L52" s="25">
        <v>42</v>
      </c>
      <c r="M52" t="e">
        <f>K52</f>
        <v>#DIV/0!</v>
      </c>
      <c r="N52" t="e">
        <f t="shared" si="3"/>
        <v>#DIV/0!</v>
      </c>
      <c r="O52" t="e">
        <f t="shared" si="4"/>
        <v>#DIV/0!</v>
      </c>
    </row>
    <row r="53" spans="1:15" x14ac:dyDescent="0.25">
      <c r="A53" s="7">
        <v>39</v>
      </c>
      <c r="B53" s="7">
        <v>0.104</v>
      </c>
      <c r="C53" s="7">
        <v>0.30599999999999999</v>
      </c>
      <c r="D53">
        <v>0.83</v>
      </c>
      <c r="E53">
        <v>0.4</v>
      </c>
      <c r="F53">
        <f t="shared" ref="F53:F78" si="6">((B53*D53)+(E53*C53))/(B53+C53)</f>
        <v>0.50907317073170744</v>
      </c>
      <c r="I53" t="e">
        <f t="shared" ref="I53:I78" si="7">0.7039*(H53^0.3917)*(F53^-1.1309)*((1/G53)^-0.1985)</f>
        <v>#DIV/0!</v>
      </c>
      <c r="J53" t="e">
        <f t="shared" ref="J53:J78" si="8">4.016*(((I53/60)+0.347)^-0.826)</f>
        <v>#DIV/0!</v>
      </c>
      <c r="K53" t="e">
        <f>F53*J53*(C53+B53)</f>
        <v>#DIV/0!</v>
      </c>
      <c r="L53" s="25">
        <v>44</v>
      </c>
      <c r="M53" t="e">
        <f>K53</f>
        <v>#DIV/0!</v>
      </c>
      <c r="N53" t="e">
        <f t="shared" si="3"/>
        <v>#DIV/0!</v>
      </c>
      <c r="O53" t="e">
        <f t="shared" si="4"/>
        <v>#DIV/0!</v>
      </c>
    </row>
    <row r="54" spans="1:15" x14ac:dyDescent="0.25">
      <c r="A54" s="7" t="s">
        <v>84</v>
      </c>
      <c r="B54" s="7">
        <v>6.0999999999999999E-2</v>
      </c>
      <c r="C54" s="7">
        <v>9.2999999999999999E-2</v>
      </c>
      <c r="D54">
        <v>0.83</v>
      </c>
      <c r="E54" s="7">
        <v>0.4</v>
      </c>
      <c r="F54">
        <f t="shared" si="6"/>
        <v>0.57032467532467523</v>
      </c>
      <c r="I54" t="e">
        <f t="shared" si="7"/>
        <v>#DIV/0!</v>
      </c>
      <c r="J54" t="e">
        <f t="shared" si="8"/>
        <v>#DIV/0!</v>
      </c>
      <c r="K54" t="e">
        <f>F54*J54*(C54+B54)</f>
        <v>#DIV/0!</v>
      </c>
      <c r="L54" s="25">
        <v>43</v>
      </c>
      <c r="M54" t="e">
        <f>K54</f>
        <v>#DIV/0!</v>
      </c>
      <c r="N54" t="e">
        <f t="shared" si="3"/>
        <v>#DIV/0!</v>
      </c>
      <c r="O54" t="e">
        <f t="shared" si="4"/>
        <v>#DIV/0!</v>
      </c>
    </row>
    <row r="55" spans="1:15" x14ac:dyDescent="0.25">
      <c r="A55" s="7">
        <v>40</v>
      </c>
      <c r="B55" s="7">
        <v>0.1</v>
      </c>
      <c r="C55" s="7">
        <v>0.435</v>
      </c>
      <c r="D55">
        <v>0.83</v>
      </c>
      <c r="E55">
        <v>0.4</v>
      </c>
      <c r="F55">
        <f t="shared" si="6"/>
        <v>0.48037383177570092</v>
      </c>
      <c r="I55" t="e">
        <f t="shared" si="7"/>
        <v>#DIV/0!</v>
      </c>
      <c r="J55" t="e">
        <f t="shared" si="8"/>
        <v>#DIV/0!</v>
      </c>
      <c r="K55" t="e">
        <f>F55*J55*(C55+B55)</f>
        <v>#DIV/0!</v>
      </c>
      <c r="L55" s="25">
        <v>45</v>
      </c>
      <c r="M55" t="e">
        <f>K55</f>
        <v>#DIV/0!</v>
      </c>
      <c r="N55" t="e">
        <f t="shared" si="3"/>
        <v>#DIV/0!</v>
      </c>
      <c r="O55" t="e">
        <f t="shared" si="4"/>
        <v>#DIV/0!</v>
      </c>
    </row>
    <row r="56" spans="1:15" x14ac:dyDescent="0.25">
      <c r="A56" s="7">
        <v>41</v>
      </c>
      <c r="B56" s="7">
        <v>0.14499999999999999</v>
      </c>
      <c r="C56" s="7">
        <v>0.621</v>
      </c>
      <c r="D56">
        <v>0.83</v>
      </c>
      <c r="E56">
        <v>0.4</v>
      </c>
      <c r="F56">
        <f t="shared" si="6"/>
        <v>0.48139686684073107</v>
      </c>
      <c r="I56" t="e">
        <f t="shared" si="7"/>
        <v>#DIV/0!</v>
      </c>
      <c r="J56" t="e">
        <f t="shared" si="8"/>
        <v>#DIV/0!</v>
      </c>
      <c r="K56" t="e">
        <f>F56*J56*(C56+B56)</f>
        <v>#DIV/0!</v>
      </c>
      <c r="L56" s="25">
        <v>46</v>
      </c>
      <c r="N56">
        <f t="shared" si="3"/>
        <v>0</v>
      </c>
      <c r="O56">
        <f t="shared" si="4"/>
        <v>0</v>
      </c>
    </row>
    <row r="57" spans="1:15" x14ac:dyDescent="0.25">
      <c r="A57" s="7">
        <v>42</v>
      </c>
      <c r="B57" s="7">
        <v>0.104</v>
      </c>
      <c r="C57" s="7">
        <v>0.3</v>
      </c>
      <c r="D57">
        <v>0.83</v>
      </c>
      <c r="E57">
        <v>0.4</v>
      </c>
      <c r="F57">
        <f t="shared" si="6"/>
        <v>0.5106930693069307</v>
      </c>
      <c r="I57" t="e">
        <f t="shared" si="7"/>
        <v>#DIV/0!</v>
      </c>
      <c r="J57" t="e">
        <f t="shared" si="8"/>
        <v>#DIV/0!</v>
      </c>
      <c r="K57" t="e">
        <f>F57*J57*(C57+B57)</f>
        <v>#DIV/0!</v>
      </c>
      <c r="L57" s="25">
        <v>46</v>
      </c>
      <c r="M57" t="e">
        <f>K57+K56</f>
        <v>#DIV/0!</v>
      </c>
      <c r="N57" t="e">
        <f t="shared" si="3"/>
        <v>#DIV/0!</v>
      </c>
      <c r="O57" t="e">
        <f t="shared" si="4"/>
        <v>#DIV/0!</v>
      </c>
    </row>
    <row r="58" spans="1:15" x14ac:dyDescent="0.25">
      <c r="A58" s="7" t="s">
        <v>85</v>
      </c>
      <c r="B58" s="7">
        <v>6.0999999999999999E-2</v>
      </c>
      <c r="C58" s="7">
        <v>9.2999999999999999E-2</v>
      </c>
      <c r="D58">
        <v>0.83</v>
      </c>
      <c r="E58" s="7">
        <v>0.4</v>
      </c>
      <c r="F58">
        <f t="shared" si="6"/>
        <v>0.57032467532467523</v>
      </c>
      <c r="G58" s="7">
        <v>62.83</v>
      </c>
      <c r="I58">
        <f t="shared" si="7"/>
        <v>0</v>
      </c>
      <c r="J58">
        <f t="shared" si="8"/>
        <v>9.6267913254528423</v>
      </c>
      <c r="K58">
        <f>F58*J58*(C58+B58)</f>
        <v>0.84552108211452293</v>
      </c>
      <c r="L58" s="25">
        <v>47</v>
      </c>
      <c r="M58">
        <f>K58</f>
        <v>0.84552108211452293</v>
      </c>
      <c r="N58">
        <f t="shared" si="3"/>
        <v>0.1864762073782337</v>
      </c>
      <c r="O58">
        <f t="shared" si="4"/>
        <v>0.14230798032212855</v>
      </c>
    </row>
    <row r="59" spans="1:15" x14ac:dyDescent="0.25">
      <c r="A59" s="7">
        <v>43</v>
      </c>
      <c r="B59" s="7">
        <v>7.5999999999999998E-2</v>
      </c>
      <c r="C59" s="7">
        <v>0.39500000000000002</v>
      </c>
      <c r="D59">
        <v>0.83</v>
      </c>
      <c r="E59">
        <v>0.4</v>
      </c>
      <c r="F59">
        <f t="shared" si="6"/>
        <v>0.46938428874734611</v>
      </c>
      <c r="G59">
        <v>155</v>
      </c>
      <c r="I59">
        <f t="shared" si="7"/>
        <v>0</v>
      </c>
      <c r="J59">
        <f t="shared" si="8"/>
        <v>9.6267913254528423</v>
      </c>
      <c r="K59">
        <f>F59*J59*(C59+B59)</f>
        <v>2.1282910262311145</v>
      </c>
      <c r="L59" s="25">
        <v>48</v>
      </c>
      <c r="M59">
        <f>K59</f>
        <v>2.1282910262311145</v>
      </c>
      <c r="N59">
        <f t="shared" si="3"/>
        <v>0.34505988761504464</v>
      </c>
      <c r="O59">
        <f t="shared" si="4"/>
        <v>0.26332997859119578</v>
      </c>
    </row>
    <row r="60" spans="1:15" x14ac:dyDescent="0.25">
      <c r="A60" s="7">
        <v>44</v>
      </c>
      <c r="B60" s="7">
        <v>0.16900000000000001</v>
      </c>
      <c r="C60" s="7">
        <v>0.36099999999999999</v>
      </c>
      <c r="D60">
        <v>0.83</v>
      </c>
      <c r="E60">
        <v>0.4</v>
      </c>
      <c r="F60">
        <f t="shared" si="6"/>
        <v>0.53711320754716974</v>
      </c>
      <c r="I60" t="e">
        <f t="shared" si="7"/>
        <v>#DIV/0!</v>
      </c>
      <c r="J60" t="e">
        <f t="shared" si="8"/>
        <v>#DIV/0!</v>
      </c>
      <c r="K60" t="e">
        <f>F60*J60*(C60+B60)</f>
        <v>#DIV/0!</v>
      </c>
      <c r="L60" s="25">
        <v>49</v>
      </c>
      <c r="M60" t="e">
        <f>K60</f>
        <v>#DIV/0!</v>
      </c>
      <c r="N60" t="e">
        <f t="shared" si="3"/>
        <v>#DIV/0!</v>
      </c>
      <c r="O60" t="e">
        <f t="shared" si="4"/>
        <v>#DIV/0!</v>
      </c>
    </row>
    <row r="61" spans="1:15" x14ac:dyDescent="0.25">
      <c r="A61" s="7">
        <v>45</v>
      </c>
      <c r="B61" s="7">
        <v>9.8000000000000004E-2</v>
      </c>
      <c r="C61" s="7">
        <v>0.35799999999999998</v>
      </c>
      <c r="D61">
        <v>0.83</v>
      </c>
      <c r="E61">
        <v>0.4</v>
      </c>
      <c r="F61">
        <f t="shared" si="6"/>
        <v>0.49241228070175441</v>
      </c>
      <c r="I61" t="e">
        <f t="shared" si="7"/>
        <v>#DIV/0!</v>
      </c>
      <c r="J61" t="e">
        <f t="shared" si="8"/>
        <v>#DIV/0!</v>
      </c>
      <c r="K61" t="e">
        <f>F61*J61*(C61+B61)</f>
        <v>#DIV/0!</v>
      </c>
      <c r="L61" s="25">
        <v>50</v>
      </c>
      <c r="M61" t="e">
        <f>K61</f>
        <v>#DIV/0!</v>
      </c>
      <c r="N61" t="e">
        <f t="shared" si="3"/>
        <v>#DIV/0!</v>
      </c>
      <c r="O61" t="e">
        <f t="shared" si="4"/>
        <v>#DIV/0!</v>
      </c>
    </row>
    <row r="62" spans="1:15" x14ac:dyDescent="0.25">
      <c r="A62" s="7">
        <v>46</v>
      </c>
      <c r="B62" s="7">
        <v>0.129</v>
      </c>
      <c r="C62" s="7">
        <v>0.47299999999999998</v>
      </c>
      <c r="D62">
        <v>0.83</v>
      </c>
      <c r="E62">
        <v>0.4</v>
      </c>
      <c r="F62">
        <f t="shared" si="6"/>
        <v>0.49214285714285722</v>
      </c>
      <c r="I62" t="e">
        <f t="shared" si="7"/>
        <v>#DIV/0!</v>
      </c>
      <c r="J62" t="e">
        <f t="shared" si="8"/>
        <v>#DIV/0!</v>
      </c>
      <c r="K62" t="e">
        <f>F62*J62*(C62+B62)</f>
        <v>#DIV/0!</v>
      </c>
      <c r="L62" s="25">
        <v>51</v>
      </c>
      <c r="N62">
        <f t="shared" si="3"/>
        <v>0</v>
      </c>
      <c r="O62">
        <f t="shared" si="4"/>
        <v>0</v>
      </c>
    </row>
    <row r="63" spans="1:15" x14ac:dyDescent="0.25">
      <c r="A63" s="7">
        <v>47</v>
      </c>
      <c r="B63" s="7">
        <v>0.108</v>
      </c>
      <c r="C63" s="7">
        <v>0.4098</v>
      </c>
      <c r="D63">
        <v>0.83</v>
      </c>
      <c r="E63">
        <v>0.4</v>
      </c>
      <c r="F63">
        <f t="shared" si="6"/>
        <v>0.4896871378910776</v>
      </c>
      <c r="I63" t="e">
        <f t="shared" si="7"/>
        <v>#DIV/0!</v>
      </c>
      <c r="J63" t="e">
        <f t="shared" si="8"/>
        <v>#DIV/0!</v>
      </c>
      <c r="K63" t="e">
        <f>F63*J63*(C63+B63)</f>
        <v>#DIV/0!</v>
      </c>
      <c r="L63" s="25">
        <v>51</v>
      </c>
      <c r="M63" t="e">
        <f>K63+K62</f>
        <v>#DIV/0!</v>
      </c>
      <c r="N63" t="e">
        <f t="shared" si="3"/>
        <v>#DIV/0!</v>
      </c>
      <c r="O63" t="e">
        <f t="shared" si="4"/>
        <v>#DIV/0!</v>
      </c>
    </row>
    <row r="64" spans="1:15" x14ac:dyDescent="0.25">
      <c r="A64" s="7">
        <v>48</v>
      </c>
      <c r="B64" s="7">
        <v>0.108</v>
      </c>
      <c r="C64" s="7">
        <v>0.41499999999999998</v>
      </c>
      <c r="D64">
        <v>0.83</v>
      </c>
      <c r="E64">
        <v>0.4</v>
      </c>
      <c r="F64">
        <f t="shared" si="6"/>
        <v>0.48879541108986607</v>
      </c>
      <c r="I64" t="e">
        <f t="shared" si="7"/>
        <v>#DIV/0!</v>
      </c>
      <c r="J64" t="e">
        <f t="shared" si="8"/>
        <v>#DIV/0!</v>
      </c>
      <c r="K64" t="e">
        <f>F64*J64*(C64+B64)</f>
        <v>#DIV/0!</v>
      </c>
      <c r="L64" s="25">
        <v>52</v>
      </c>
      <c r="M64" t="e">
        <f>K64</f>
        <v>#DIV/0!</v>
      </c>
      <c r="N64" t="e">
        <f t="shared" si="3"/>
        <v>#DIV/0!</v>
      </c>
      <c r="O64" t="e">
        <f t="shared" si="4"/>
        <v>#DIV/0!</v>
      </c>
    </row>
    <row r="65" spans="1:15" x14ac:dyDescent="0.25">
      <c r="A65" s="7">
        <v>49</v>
      </c>
      <c r="B65" s="7">
        <v>0.10100000000000001</v>
      </c>
      <c r="C65" s="7">
        <v>0.39100000000000001</v>
      </c>
      <c r="D65">
        <v>0.83</v>
      </c>
      <c r="E65">
        <v>0.4</v>
      </c>
      <c r="F65">
        <f t="shared" si="6"/>
        <v>0.48827235772357724</v>
      </c>
      <c r="I65" t="e">
        <f t="shared" si="7"/>
        <v>#DIV/0!</v>
      </c>
      <c r="J65" t="e">
        <f t="shared" si="8"/>
        <v>#DIV/0!</v>
      </c>
      <c r="K65" t="e">
        <f>F65*J65*(C65+B65)</f>
        <v>#DIV/0!</v>
      </c>
      <c r="L65" s="25">
        <v>53</v>
      </c>
      <c r="M65" t="e">
        <f>K65</f>
        <v>#DIV/0!</v>
      </c>
      <c r="N65" t="e">
        <f t="shared" si="3"/>
        <v>#DIV/0!</v>
      </c>
      <c r="O65" t="e">
        <f t="shared" si="4"/>
        <v>#DIV/0!</v>
      </c>
    </row>
    <row r="66" spans="1:15" x14ac:dyDescent="0.25">
      <c r="A66" s="7">
        <v>50</v>
      </c>
      <c r="B66" s="7">
        <v>0.14499999999999999</v>
      </c>
      <c r="C66" s="7">
        <v>0.56100000000000005</v>
      </c>
      <c r="D66">
        <v>0.83</v>
      </c>
      <c r="E66">
        <v>0.4</v>
      </c>
      <c r="F66">
        <f t="shared" si="6"/>
        <v>0.48831444759206794</v>
      </c>
      <c r="I66" t="e">
        <f t="shared" si="7"/>
        <v>#DIV/0!</v>
      </c>
      <c r="J66" t="e">
        <f t="shared" si="8"/>
        <v>#DIV/0!</v>
      </c>
      <c r="K66" t="e">
        <f>F66*J66*(C66+B66)</f>
        <v>#DIV/0!</v>
      </c>
      <c r="L66" s="25">
        <v>54</v>
      </c>
      <c r="N66">
        <f t="shared" si="3"/>
        <v>0</v>
      </c>
      <c r="O66">
        <f t="shared" si="4"/>
        <v>0</v>
      </c>
    </row>
    <row r="67" spans="1:15" x14ac:dyDescent="0.25">
      <c r="A67" s="7">
        <v>51</v>
      </c>
      <c r="B67" s="7">
        <v>0.106</v>
      </c>
      <c r="C67" s="7">
        <v>0.27100000000000002</v>
      </c>
      <c r="D67">
        <v>0.83</v>
      </c>
      <c r="E67">
        <v>0.4</v>
      </c>
      <c r="F67">
        <f t="shared" si="6"/>
        <v>0.52090185676392575</v>
      </c>
      <c r="I67" t="e">
        <f t="shared" si="7"/>
        <v>#DIV/0!</v>
      </c>
      <c r="J67" t="e">
        <f t="shared" si="8"/>
        <v>#DIV/0!</v>
      </c>
      <c r="K67" t="e">
        <f>F67*J67*(C67+B67)</f>
        <v>#DIV/0!</v>
      </c>
      <c r="L67" s="25">
        <v>54</v>
      </c>
      <c r="M67" t="e">
        <f>K67+K66</f>
        <v>#DIV/0!</v>
      </c>
      <c r="N67" t="e">
        <f t="shared" ref="N67:N69" si="9">(M67/(3*7*0.5))^(2/3)</f>
        <v>#DIV/0!</v>
      </c>
      <c r="O67" t="e">
        <f t="shared" ref="O67:O69" si="10">(M67/(3*10.5*0.5))^(2/3)</f>
        <v>#DIV/0!</v>
      </c>
    </row>
    <row r="68" spans="1:15" x14ac:dyDescent="0.25">
      <c r="A68" s="7" t="s">
        <v>86</v>
      </c>
      <c r="B68" s="7">
        <v>5.5E-2</v>
      </c>
      <c r="C68" s="7">
        <v>8.4199999999999997E-2</v>
      </c>
      <c r="D68">
        <v>0.83</v>
      </c>
      <c r="E68" s="7">
        <v>0.4</v>
      </c>
      <c r="F68">
        <f t="shared" si="6"/>
        <v>0.56989942528735638</v>
      </c>
      <c r="G68" s="7">
        <v>62.83</v>
      </c>
      <c r="I68">
        <f t="shared" si="7"/>
        <v>0</v>
      </c>
      <c r="J68">
        <f t="shared" si="8"/>
        <v>9.6267913254528423</v>
      </c>
      <c r="K68">
        <f>F68*J68*(C68+B68)</f>
        <v>0.76369335584817399</v>
      </c>
      <c r="L68" s="25">
        <v>55</v>
      </c>
      <c r="M68">
        <f>K68</f>
        <v>0.76369335584817399</v>
      </c>
      <c r="N68">
        <f t="shared" si="9"/>
        <v>0.17424211824357183</v>
      </c>
      <c r="O68">
        <f t="shared" si="10"/>
        <v>0.1329716229373856</v>
      </c>
    </row>
    <row r="69" spans="1:15" x14ac:dyDescent="0.25">
      <c r="A69" s="7">
        <v>52</v>
      </c>
      <c r="B69" s="7">
        <v>6.9900000000000004E-2</v>
      </c>
      <c r="C69" s="7">
        <v>0.36399999999999999</v>
      </c>
      <c r="D69">
        <v>0.83</v>
      </c>
      <c r="E69">
        <v>0.4</v>
      </c>
      <c r="F69">
        <f t="shared" si="6"/>
        <v>0.46927172159483749</v>
      </c>
      <c r="G69">
        <v>155</v>
      </c>
      <c r="I69">
        <f t="shared" si="7"/>
        <v>0</v>
      </c>
      <c r="J69">
        <f t="shared" si="8"/>
        <v>9.6267913254528423</v>
      </c>
      <c r="K69">
        <f>F69*J69*(C69+B69)</f>
        <v>1.9601783693147312</v>
      </c>
      <c r="L69" s="25">
        <v>56</v>
      </c>
      <c r="M69">
        <f t="shared" ref="M69:M78" si="11">K69</f>
        <v>1.9601783693147312</v>
      </c>
      <c r="N69">
        <f t="shared" si="9"/>
        <v>0.32664112465544637</v>
      </c>
      <c r="O69">
        <f t="shared" si="10"/>
        <v>0.24927383173115186</v>
      </c>
    </row>
    <row r="70" spans="1:15" x14ac:dyDescent="0.25">
      <c r="A70" s="7">
        <v>53</v>
      </c>
      <c r="B70" s="7">
        <v>5.5E-2</v>
      </c>
      <c r="C70" s="7">
        <v>0.35899999999999999</v>
      </c>
      <c r="D70">
        <v>0.83</v>
      </c>
      <c r="E70">
        <v>0.4</v>
      </c>
      <c r="F70">
        <f t="shared" si="6"/>
        <v>0.45712560386473433</v>
      </c>
      <c r="I70" t="e">
        <f t="shared" si="7"/>
        <v>#DIV/0!</v>
      </c>
      <c r="J70" t="e">
        <f t="shared" si="8"/>
        <v>#DIV/0!</v>
      </c>
      <c r="K70" t="e">
        <f>F70*J70*(C70+B70)</f>
        <v>#DIV/0!</v>
      </c>
      <c r="L70" s="24" t="s">
        <v>87</v>
      </c>
      <c r="M70" t="e">
        <f t="shared" si="11"/>
        <v>#DIV/0!</v>
      </c>
    </row>
    <row r="71" spans="1:15" x14ac:dyDescent="0.25">
      <c r="A71" s="7">
        <v>54</v>
      </c>
      <c r="B71" s="7">
        <v>0</v>
      </c>
      <c r="C71" s="7">
        <v>0.35899999999999999</v>
      </c>
      <c r="D71">
        <v>0.83</v>
      </c>
      <c r="E71">
        <v>0.4</v>
      </c>
      <c r="F71">
        <f t="shared" si="6"/>
        <v>0.4</v>
      </c>
      <c r="I71" t="e">
        <f t="shared" si="7"/>
        <v>#DIV/0!</v>
      </c>
      <c r="J71" t="e">
        <f t="shared" si="8"/>
        <v>#DIV/0!</v>
      </c>
      <c r="K71" t="e">
        <f>F71*J71*(C71+B71)</f>
        <v>#DIV/0!</v>
      </c>
      <c r="L71" s="24" t="s">
        <v>87</v>
      </c>
      <c r="M71" t="e">
        <f t="shared" si="11"/>
        <v>#DIV/0!</v>
      </c>
    </row>
    <row r="72" spans="1:15" x14ac:dyDescent="0.25">
      <c r="A72" s="7">
        <v>55</v>
      </c>
      <c r="B72" s="7">
        <v>0</v>
      </c>
      <c r="C72" s="7">
        <v>0.47399999999999998</v>
      </c>
      <c r="D72">
        <v>0.83</v>
      </c>
      <c r="E72">
        <v>0.4</v>
      </c>
      <c r="F72">
        <f t="shared" si="6"/>
        <v>0.4</v>
      </c>
      <c r="I72" t="e">
        <f t="shared" si="7"/>
        <v>#DIV/0!</v>
      </c>
      <c r="J72" t="e">
        <f t="shared" si="8"/>
        <v>#DIV/0!</v>
      </c>
      <c r="K72" t="e">
        <f>F72*J72*(C72+B72)</f>
        <v>#DIV/0!</v>
      </c>
      <c r="L72" s="24" t="s">
        <v>87</v>
      </c>
      <c r="M72" t="e">
        <f t="shared" si="11"/>
        <v>#DIV/0!</v>
      </c>
    </row>
    <row r="73" spans="1:15" x14ac:dyDescent="0.25">
      <c r="A73" s="7">
        <v>56</v>
      </c>
      <c r="B73" s="7">
        <v>0</v>
      </c>
      <c r="C73" s="7">
        <v>0.41</v>
      </c>
      <c r="D73">
        <v>0.83</v>
      </c>
      <c r="E73">
        <v>0.4</v>
      </c>
      <c r="F73">
        <f t="shared" si="6"/>
        <v>0.4</v>
      </c>
      <c r="I73" t="e">
        <f t="shared" si="7"/>
        <v>#DIV/0!</v>
      </c>
      <c r="J73" t="e">
        <f t="shared" si="8"/>
        <v>#DIV/0!</v>
      </c>
      <c r="K73" t="e">
        <f>F73*J73*(C73+B73)</f>
        <v>#DIV/0!</v>
      </c>
      <c r="L73" s="24" t="s">
        <v>87</v>
      </c>
      <c r="M73" t="e">
        <f t="shared" si="11"/>
        <v>#DIV/0!</v>
      </c>
    </row>
    <row r="74" spans="1:15" x14ac:dyDescent="0.25">
      <c r="A74" s="7">
        <v>57</v>
      </c>
      <c r="B74" s="7">
        <v>0</v>
      </c>
      <c r="C74" s="7">
        <v>0.41399999999999998</v>
      </c>
      <c r="D74">
        <v>0.83</v>
      </c>
      <c r="E74">
        <v>0.4</v>
      </c>
      <c r="F74">
        <f t="shared" si="6"/>
        <v>0.4</v>
      </c>
      <c r="I74" t="e">
        <f t="shared" si="7"/>
        <v>#DIV/0!</v>
      </c>
      <c r="J74" t="e">
        <f t="shared" si="8"/>
        <v>#DIV/0!</v>
      </c>
      <c r="K74" t="e">
        <f>F74*J74*(C74+B74)</f>
        <v>#DIV/0!</v>
      </c>
      <c r="L74" s="24" t="s">
        <v>87</v>
      </c>
      <c r="M74" t="e">
        <f t="shared" si="11"/>
        <v>#DIV/0!</v>
      </c>
    </row>
    <row r="75" spans="1:15" x14ac:dyDescent="0.25">
      <c r="A75" s="7">
        <v>58</v>
      </c>
      <c r="B75" s="7">
        <v>0</v>
      </c>
      <c r="C75" s="7">
        <v>0.39100000000000001</v>
      </c>
      <c r="D75">
        <v>0.83</v>
      </c>
      <c r="E75">
        <v>0.4</v>
      </c>
      <c r="F75">
        <f t="shared" si="6"/>
        <v>0.4</v>
      </c>
      <c r="I75" t="e">
        <f t="shared" si="7"/>
        <v>#DIV/0!</v>
      </c>
      <c r="J75" t="e">
        <f t="shared" si="8"/>
        <v>#DIV/0!</v>
      </c>
      <c r="K75" t="e">
        <f>F75*J75*(C75+B75)</f>
        <v>#DIV/0!</v>
      </c>
      <c r="L75" s="24" t="s">
        <v>87</v>
      </c>
      <c r="M75" t="e">
        <f t="shared" si="11"/>
        <v>#DIV/0!</v>
      </c>
    </row>
    <row r="76" spans="1:15" x14ac:dyDescent="0.25">
      <c r="A76" s="7">
        <v>59</v>
      </c>
      <c r="B76" s="7">
        <v>0</v>
      </c>
      <c r="C76" s="7">
        <v>0.55900000000000005</v>
      </c>
      <c r="D76">
        <v>0.83</v>
      </c>
      <c r="E76">
        <v>0.4</v>
      </c>
      <c r="F76">
        <f t="shared" si="6"/>
        <v>0.4</v>
      </c>
      <c r="I76" t="e">
        <f t="shared" si="7"/>
        <v>#DIV/0!</v>
      </c>
      <c r="J76" t="e">
        <f t="shared" si="8"/>
        <v>#DIV/0!</v>
      </c>
      <c r="K76" t="e">
        <f>F76*J76*(C76+B76)</f>
        <v>#DIV/0!</v>
      </c>
      <c r="L76" s="24" t="s">
        <v>87</v>
      </c>
      <c r="M76" t="e">
        <f t="shared" si="11"/>
        <v>#DIV/0!</v>
      </c>
    </row>
    <row r="77" spans="1:15" x14ac:dyDescent="0.25">
      <c r="A77" s="7">
        <v>60</v>
      </c>
      <c r="B77" s="7">
        <v>5.5E-2</v>
      </c>
      <c r="C77" s="7">
        <v>0.35399999999999998</v>
      </c>
      <c r="D77">
        <v>0.83</v>
      </c>
      <c r="E77">
        <v>0.4</v>
      </c>
      <c r="F77">
        <f t="shared" si="6"/>
        <v>0.45782396088019561</v>
      </c>
      <c r="I77" t="e">
        <f t="shared" si="7"/>
        <v>#DIV/0!</v>
      </c>
      <c r="J77" t="e">
        <f t="shared" si="8"/>
        <v>#DIV/0!</v>
      </c>
      <c r="K77" t="e">
        <f>F77*J77*(C77+B77)</f>
        <v>#DIV/0!</v>
      </c>
      <c r="L77" s="24" t="s">
        <v>87</v>
      </c>
      <c r="M77" t="e">
        <f t="shared" si="11"/>
        <v>#DIV/0!</v>
      </c>
    </row>
    <row r="78" spans="1:15" ht="18" x14ac:dyDescent="0.4">
      <c r="A78" s="7">
        <v>61</v>
      </c>
      <c r="B78" s="7">
        <v>5.5E-2</v>
      </c>
      <c r="C78" s="7">
        <v>0.28799999999999998</v>
      </c>
      <c r="D78">
        <v>0.83</v>
      </c>
      <c r="E78">
        <v>0.4</v>
      </c>
      <c r="F78">
        <f t="shared" si="6"/>
        <v>0.4689504373177843</v>
      </c>
      <c r="G78">
        <v>155</v>
      </c>
      <c r="I78">
        <f t="shared" si="7"/>
        <v>0</v>
      </c>
      <c r="J78">
        <f t="shared" si="8"/>
        <v>9.6267913254528423</v>
      </c>
      <c r="K78">
        <f>F78*J78*(C78+B78)</f>
        <v>1.5484693846990896</v>
      </c>
      <c r="L78" s="24" t="s">
        <v>87</v>
      </c>
      <c r="M78">
        <f t="shared" si="11"/>
        <v>1.5484693846990896</v>
      </c>
      <c r="N78" s="26" t="s">
        <v>89</v>
      </c>
      <c r="O78" t="e">
        <f>SUM(M70:M78)</f>
        <v>#DIV/0!</v>
      </c>
    </row>
    <row r="79" spans="1:15" x14ac:dyDescent="0.25">
      <c r="L79" s="24" t="s">
        <v>90</v>
      </c>
      <c r="M79" t="e">
        <f>SUM(M2:M78)</f>
        <v>#DIV/0!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</vt:lpstr>
      <vt:lpstr>inlet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</dc:creator>
  <cp:lastModifiedBy>Scott H Lee</cp:lastModifiedBy>
  <cp:lastPrinted>2012-10-05T16:32:08Z</cp:lastPrinted>
  <dcterms:created xsi:type="dcterms:W3CDTF">2012-09-17T23:52:13Z</dcterms:created>
  <dcterms:modified xsi:type="dcterms:W3CDTF">2012-10-30T18:58:12Z</dcterms:modified>
</cp:coreProperties>
</file>