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danao\Desktop\"/>
    </mc:Choice>
  </mc:AlternateContent>
  <bookViews>
    <workbookView xWindow="120" yWindow="45" windowWidth="14580" windowHeight="2640"/>
  </bookViews>
  <sheets>
    <sheet name="Instructions &amp; Definitions" sheetId="26" r:id="rId1"/>
    <sheet name="Design Example (APA T555)" sheetId="33" r:id="rId2"/>
    <sheet name="One Opening" sheetId="29" r:id="rId3"/>
    <sheet name="Two Openings" sheetId="28" r:id="rId4"/>
    <sheet name="Three Openings" sheetId="27" r:id="rId5"/>
    <sheet name="LookUp" sheetId="30" state="hidden" r:id="rId6"/>
  </sheets>
  <definedNames>
    <definedName name="_xlnm.Print_Area" localSheetId="1">'Design Example (APA T555)'!$B$2:$M$160</definedName>
    <definedName name="_xlnm.Print_Area" localSheetId="0">'Instructions &amp; Definitions'!$B$2:$C$58</definedName>
    <definedName name="_xlnm.Print_Area" localSheetId="2">'One Opening'!$B$2:$M$144</definedName>
    <definedName name="_xlnm.Print_Area" localSheetId="4">'Three Openings'!$B$2:$N$182</definedName>
    <definedName name="_xlnm.Print_Area" localSheetId="3">'Two Openings'!$B$2:$M$162</definedName>
    <definedName name="_xlnm.Print_Titles" localSheetId="1">'Design Example (APA T555)'!$3:$8</definedName>
    <definedName name="_xlnm.Print_Titles" localSheetId="2">'One Opening'!$3:$8</definedName>
    <definedName name="_xlnm.Print_Titles" localSheetId="4">'Three Openings'!$3:$8</definedName>
    <definedName name="_xlnm.Print_Titles" localSheetId="3">'Two Openings'!$3:$8</definedName>
  </definedNames>
  <calcPr calcId="162913"/>
</workbook>
</file>

<file path=xl/calcChain.xml><?xml version="1.0" encoding="utf-8"?>
<calcChain xmlns="http://schemas.openxmlformats.org/spreadsheetml/2006/main">
  <c r="C140" i="33" l="1"/>
  <c r="D140" i="33" s="1"/>
  <c r="C139" i="33"/>
  <c r="D139" i="33" s="1"/>
  <c r="G138" i="33"/>
  <c r="H138" i="33" s="1"/>
  <c r="E138" i="33"/>
  <c r="F138" i="33" s="1"/>
  <c r="C138" i="33"/>
  <c r="D138" i="33" s="1"/>
  <c r="C137" i="33"/>
  <c r="H137" i="33" s="1"/>
  <c r="H134" i="33"/>
  <c r="G134" i="33"/>
  <c r="F134" i="33"/>
  <c r="E134" i="33"/>
  <c r="D134" i="33"/>
  <c r="C134" i="33"/>
  <c r="H131" i="33"/>
  <c r="G131" i="33"/>
  <c r="F131" i="33"/>
  <c r="E131" i="33"/>
  <c r="D131" i="33"/>
  <c r="C131" i="33"/>
  <c r="H130" i="33"/>
  <c r="G130" i="33"/>
  <c r="F130" i="33"/>
  <c r="E130" i="33"/>
  <c r="D130" i="33"/>
  <c r="C130" i="33"/>
  <c r="C105" i="33"/>
  <c r="D105" i="33" s="1"/>
  <c r="D104" i="33"/>
  <c r="C104" i="33"/>
  <c r="G103" i="33"/>
  <c r="H103" i="33" s="1"/>
  <c r="F103" i="33"/>
  <c r="E103" i="33"/>
  <c r="C103" i="33"/>
  <c r="D103" i="33" s="1"/>
  <c r="C100" i="33"/>
  <c r="D100" i="33" s="1"/>
  <c r="C99" i="33"/>
  <c r="E99" i="33" s="1"/>
  <c r="H96" i="33"/>
  <c r="G96" i="33"/>
  <c r="F96" i="33"/>
  <c r="E96" i="33"/>
  <c r="D96" i="33"/>
  <c r="C96" i="33"/>
  <c r="H93" i="33"/>
  <c r="G93" i="33"/>
  <c r="F93" i="33"/>
  <c r="E93" i="33"/>
  <c r="D93" i="33"/>
  <c r="C93" i="33"/>
  <c r="H92" i="33"/>
  <c r="G92" i="33"/>
  <c r="F92" i="33"/>
  <c r="E92" i="33"/>
  <c r="D92" i="33"/>
  <c r="C92" i="33"/>
  <c r="O84" i="33"/>
  <c r="E105" i="33" s="1"/>
  <c r="L84" i="33"/>
  <c r="G105" i="33" s="1"/>
  <c r="G84" i="33"/>
  <c r="C98" i="33" s="1"/>
  <c r="O83" i="33"/>
  <c r="E104" i="33" s="1"/>
  <c r="F104" i="33" s="1"/>
  <c r="L83" i="33"/>
  <c r="G104" i="33" s="1"/>
  <c r="H104" i="33" s="1"/>
  <c r="O82" i="33"/>
  <c r="E100" i="33" s="1"/>
  <c r="F100" i="33" s="1"/>
  <c r="L82" i="33"/>
  <c r="G100" i="33" s="1"/>
  <c r="H100" i="33" s="1"/>
  <c r="G50" i="33"/>
  <c r="G49" i="33"/>
  <c r="G48" i="33"/>
  <c r="G47" i="33"/>
  <c r="D29" i="33"/>
  <c r="L34" i="33" s="1"/>
  <c r="D28" i="33"/>
  <c r="K27" i="33"/>
  <c r="L27" i="33" s="1"/>
  <c r="H27" i="33"/>
  <c r="K26" i="33"/>
  <c r="H26" i="33"/>
  <c r="K28" i="33" s="1"/>
  <c r="L28" i="33" s="1"/>
  <c r="H25" i="33"/>
  <c r="E139" i="33" l="1"/>
  <c r="F139" i="33" s="1"/>
  <c r="D99" i="33"/>
  <c r="E137" i="33"/>
  <c r="F99" i="33"/>
  <c r="J92" i="33"/>
  <c r="H99" i="33"/>
  <c r="J29" i="33"/>
  <c r="L33" i="33"/>
  <c r="E94" i="33" s="1"/>
  <c r="F105" i="33"/>
  <c r="L26" i="33"/>
  <c r="D135" i="33"/>
  <c r="C135" i="33"/>
  <c r="H135" i="33" s="1"/>
  <c r="D97" i="33"/>
  <c r="C97" i="33"/>
  <c r="G31" i="33"/>
  <c r="G94" i="33"/>
  <c r="L70" i="33"/>
  <c r="L69" i="33"/>
  <c r="L40" i="33"/>
  <c r="G132" i="33"/>
  <c r="F136" i="33"/>
  <c r="G98" i="33"/>
  <c r="E136" i="33"/>
  <c r="F98" i="33"/>
  <c r="H136" i="33"/>
  <c r="D136" i="33"/>
  <c r="E98" i="33"/>
  <c r="G136" i="33"/>
  <c r="H98" i="33"/>
  <c r="D98" i="33"/>
  <c r="H105" i="33"/>
  <c r="C136" i="33"/>
  <c r="G140" i="33"/>
  <c r="E76" i="33"/>
  <c r="G99" i="33"/>
  <c r="J130" i="33"/>
  <c r="F137" i="33"/>
  <c r="L32" i="33"/>
  <c r="G137" i="33"/>
  <c r="G139" i="33"/>
  <c r="H139" i="33" s="1"/>
  <c r="E140" i="33"/>
  <c r="D137" i="33"/>
  <c r="H96" i="27"/>
  <c r="C115" i="27"/>
  <c r="C129" i="29"/>
  <c r="C157" i="27"/>
  <c r="C156" i="27"/>
  <c r="I155" i="27"/>
  <c r="G155" i="27"/>
  <c r="E155" i="27"/>
  <c r="C155" i="27"/>
  <c r="I115" i="27"/>
  <c r="G115" i="27"/>
  <c r="E115" i="27"/>
  <c r="C117" i="27"/>
  <c r="C116" i="27"/>
  <c r="C112" i="27"/>
  <c r="J151" i="27"/>
  <c r="I151" i="27"/>
  <c r="H151" i="27"/>
  <c r="G151" i="27"/>
  <c r="F151" i="27"/>
  <c r="E151" i="27"/>
  <c r="D151" i="27"/>
  <c r="C151" i="27"/>
  <c r="Q96" i="27"/>
  <c r="Q95" i="27"/>
  <c r="Q94" i="27"/>
  <c r="P96" i="27"/>
  <c r="P95" i="27"/>
  <c r="P94" i="27"/>
  <c r="M96" i="27"/>
  <c r="M95" i="27"/>
  <c r="M94" i="27"/>
  <c r="J108" i="27"/>
  <c r="I108" i="27"/>
  <c r="H108" i="27"/>
  <c r="G108" i="27"/>
  <c r="F108" i="27"/>
  <c r="E108" i="27"/>
  <c r="D108" i="27"/>
  <c r="C108" i="27"/>
  <c r="C30" i="27"/>
  <c r="C29" i="27"/>
  <c r="D152" i="27" s="1"/>
  <c r="I27" i="27"/>
  <c r="I26" i="27"/>
  <c r="I25" i="27"/>
  <c r="G27" i="27"/>
  <c r="G26" i="27"/>
  <c r="G25" i="27"/>
  <c r="C142" i="28"/>
  <c r="C141" i="28"/>
  <c r="G140" i="28"/>
  <c r="E140" i="28"/>
  <c r="C140" i="28"/>
  <c r="H136" i="28"/>
  <c r="G136" i="28"/>
  <c r="F136" i="28"/>
  <c r="E136" i="28"/>
  <c r="D136" i="28"/>
  <c r="C136" i="28"/>
  <c r="C99" i="29"/>
  <c r="C98" i="29"/>
  <c r="E97" i="29"/>
  <c r="C97" i="29"/>
  <c r="C94" i="29"/>
  <c r="F90" i="29"/>
  <c r="E90" i="29"/>
  <c r="D90" i="29"/>
  <c r="C90" i="29"/>
  <c r="E127" i="29"/>
  <c r="C128" i="29"/>
  <c r="C127" i="29"/>
  <c r="F123" i="29"/>
  <c r="E123" i="29"/>
  <c r="D123" i="29"/>
  <c r="C123" i="29"/>
  <c r="L78" i="29"/>
  <c r="L77" i="29"/>
  <c r="L76" i="29"/>
  <c r="G78" i="29"/>
  <c r="E28" i="29"/>
  <c r="E27" i="29"/>
  <c r="C124" i="29" s="1"/>
  <c r="G104" i="28"/>
  <c r="E104" i="28"/>
  <c r="C104" i="28"/>
  <c r="G105" i="28"/>
  <c r="E105" i="28"/>
  <c r="C105" i="28"/>
  <c r="C107" i="28"/>
  <c r="C106" i="28"/>
  <c r="O86" i="28"/>
  <c r="O85" i="28"/>
  <c r="O84" i="28"/>
  <c r="E102" i="28" s="1"/>
  <c r="L86" i="28"/>
  <c r="L85" i="28"/>
  <c r="L84" i="28"/>
  <c r="G102" i="28" s="1"/>
  <c r="C102" i="28"/>
  <c r="H27" i="28"/>
  <c r="D29" i="28"/>
  <c r="H26" i="28"/>
  <c r="H25" i="28"/>
  <c r="D28" i="28"/>
  <c r="C99" i="28" s="1"/>
  <c r="H98" i="28"/>
  <c r="G98" i="28"/>
  <c r="F98" i="28"/>
  <c r="E98" i="28"/>
  <c r="D98" i="28"/>
  <c r="C98" i="28"/>
  <c r="G86" i="28"/>
  <c r="K67" i="33" l="1"/>
  <c r="K68" i="33"/>
  <c r="L39" i="33"/>
  <c r="E132" i="33"/>
  <c r="F132" i="33" s="1"/>
  <c r="F133" i="33" s="1"/>
  <c r="E75" i="33"/>
  <c r="G33" i="33"/>
  <c r="G34" i="33"/>
  <c r="E95" i="33"/>
  <c r="F94" i="33"/>
  <c r="F95" i="33" s="1"/>
  <c r="E97" i="33"/>
  <c r="G97" i="33"/>
  <c r="F97" i="33"/>
  <c r="G135" i="33"/>
  <c r="F135" i="33"/>
  <c r="E135" i="33"/>
  <c r="J116" i="33"/>
  <c r="F140" i="33"/>
  <c r="C94" i="33"/>
  <c r="L38" i="33"/>
  <c r="L35" i="33"/>
  <c r="M35" i="33" s="1"/>
  <c r="L66" i="33"/>
  <c r="L65" i="33"/>
  <c r="C132" i="33"/>
  <c r="H140" i="33"/>
  <c r="G133" i="33"/>
  <c r="E156" i="33" s="1"/>
  <c r="H132" i="33"/>
  <c r="H133" i="33" s="1"/>
  <c r="G95" i="33"/>
  <c r="H94" i="33"/>
  <c r="H95" i="33" s="1"/>
  <c r="H97" i="33"/>
  <c r="E133" i="33"/>
  <c r="D109" i="27"/>
  <c r="D99" i="28"/>
  <c r="D137" i="28"/>
  <c r="D91" i="29"/>
  <c r="C91" i="29"/>
  <c r="D124" i="29"/>
  <c r="E91" i="29"/>
  <c r="E117" i="27"/>
  <c r="J66" i="33" l="1"/>
  <c r="G37" i="33"/>
  <c r="L67" i="33"/>
  <c r="G38" i="33"/>
  <c r="J68" i="33"/>
  <c r="J69" i="33"/>
  <c r="E73" i="33"/>
  <c r="G76" i="33" s="1"/>
  <c r="E151" i="33"/>
  <c r="H156" i="33"/>
  <c r="D121" i="33"/>
  <c r="C121" i="33"/>
  <c r="G101" i="33"/>
  <c r="G102" i="33" s="1"/>
  <c r="H102" i="33" s="1"/>
  <c r="I121" i="33" s="1"/>
  <c r="F121" i="33"/>
  <c r="F156" i="33"/>
  <c r="G156" i="33"/>
  <c r="H151" i="33"/>
  <c r="C151" i="33"/>
  <c r="D151" i="33"/>
  <c r="D156" i="33"/>
  <c r="C156" i="33"/>
  <c r="C133" i="33"/>
  <c r="D132" i="33"/>
  <c r="D133" i="33" s="1"/>
  <c r="H116" i="33"/>
  <c r="G116" i="33"/>
  <c r="F101" i="33"/>
  <c r="G151" i="33"/>
  <c r="F151" i="33"/>
  <c r="H121" i="33"/>
  <c r="H101" i="33"/>
  <c r="G121" i="33"/>
  <c r="J121" i="33"/>
  <c r="C95" i="33"/>
  <c r="D94" i="33"/>
  <c r="D95" i="33" s="1"/>
  <c r="E101" i="33"/>
  <c r="E102" i="33" s="1"/>
  <c r="F102" i="33" s="1"/>
  <c r="I116" i="33" s="1"/>
  <c r="D116" i="33"/>
  <c r="C116" i="33"/>
  <c r="F116" i="33"/>
  <c r="J27" i="29"/>
  <c r="K27" i="29" s="1"/>
  <c r="J26" i="29"/>
  <c r="K26" i="29" s="1"/>
  <c r="K27" i="28"/>
  <c r="L27" i="28" s="1"/>
  <c r="K26" i="28"/>
  <c r="L26" i="28" s="1"/>
  <c r="E121" i="33" l="1"/>
  <c r="E116" i="33"/>
  <c r="G42" i="33"/>
  <c r="G41" i="33"/>
  <c r="G44" i="33"/>
  <c r="L45" i="33" s="1"/>
  <c r="L50" i="33" s="1"/>
  <c r="G43" i="33"/>
  <c r="J117" i="33"/>
  <c r="E152" i="33"/>
  <c r="J122" i="33"/>
  <c r="F117" i="33"/>
  <c r="C111" i="33"/>
  <c r="F111" i="33"/>
  <c r="C101" i="33"/>
  <c r="C102" i="33" s="1"/>
  <c r="D111" i="33"/>
  <c r="G146" i="33"/>
  <c r="F146" i="33"/>
  <c r="H146" i="33"/>
  <c r="G111" i="33"/>
  <c r="D101" i="33"/>
  <c r="H111" i="33"/>
  <c r="J111" i="33"/>
  <c r="D146" i="33"/>
  <c r="C146" i="33"/>
  <c r="E146" i="33"/>
  <c r="F122" i="33"/>
  <c r="H152" i="33"/>
  <c r="E157" i="33"/>
  <c r="H157" i="33"/>
  <c r="I28" i="29"/>
  <c r="L26" i="27"/>
  <c r="M26" i="27" s="1"/>
  <c r="D102" i="33" l="1"/>
  <c r="I111" i="33" s="1"/>
  <c r="E111" i="33"/>
  <c r="K70" i="33"/>
  <c r="M70" i="33" s="1"/>
  <c r="K69" i="33"/>
  <c r="M69" i="33" s="1"/>
  <c r="E74" i="33"/>
  <c r="L43" i="33"/>
  <c r="L48" i="33" s="1"/>
  <c r="L44" i="33"/>
  <c r="L49" i="33" s="1"/>
  <c r="F112" i="33"/>
  <c r="E147" i="33"/>
  <c r="J112" i="33"/>
  <c r="H147" i="33"/>
  <c r="E68" i="29"/>
  <c r="L118" i="33" l="1"/>
  <c r="L119" i="33" s="1"/>
  <c r="I74" i="33" s="1"/>
  <c r="J150" i="33"/>
  <c r="M73" i="33" s="1"/>
  <c r="I73" i="33"/>
  <c r="J151" i="33"/>
  <c r="M74" i="33" s="1"/>
  <c r="K65" i="33"/>
  <c r="M65" i="33" s="1"/>
  <c r="K66" i="33"/>
  <c r="M66" i="33" s="1"/>
  <c r="L68" i="33"/>
  <c r="M68" i="33" s="1"/>
  <c r="J67" i="33"/>
  <c r="M67" i="33" s="1"/>
  <c r="C154" i="27" l="1"/>
  <c r="C111" i="27"/>
  <c r="L104" i="27" l="1"/>
  <c r="G88" i="27"/>
  <c r="L147" i="27"/>
  <c r="G87" i="27"/>
  <c r="J147" i="27"/>
  <c r="I147" i="27"/>
  <c r="H147" i="27"/>
  <c r="G147" i="27"/>
  <c r="F147" i="27"/>
  <c r="E147" i="27"/>
  <c r="D147" i="27"/>
  <c r="C147" i="27"/>
  <c r="J104" i="27"/>
  <c r="I104" i="27"/>
  <c r="H104" i="27"/>
  <c r="G104" i="27"/>
  <c r="F104" i="27"/>
  <c r="E104" i="27"/>
  <c r="D104" i="27"/>
  <c r="C104" i="27"/>
  <c r="H132" i="28" l="1"/>
  <c r="G132" i="28"/>
  <c r="F132" i="28"/>
  <c r="E132" i="28"/>
  <c r="D132" i="28"/>
  <c r="C132" i="28"/>
  <c r="H94" i="28"/>
  <c r="G94" i="28"/>
  <c r="F94" i="28"/>
  <c r="E94" i="28"/>
  <c r="D94" i="28"/>
  <c r="C94" i="28"/>
  <c r="F119" i="29"/>
  <c r="E119" i="29"/>
  <c r="D119" i="29"/>
  <c r="C119" i="29"/>
  <c r="C86" i="29"/>
  <c r="F86" i="29" l="1"/>
  <c r="E86" i="29"/>
  <c r="D86" i="29"/>
  <c r="G57" i="27" l="1"/>
  <c r="G56" i="27"/>
  <c r="G55" i="27"/>
  <c r="G54" i="27"/>
  <c r="G53" i="27"/>
  <c r="G52" i="27"/>
  <c r="G50" i="28"/>
  <c r="G49" i="28"/>
  <c r="G48" i="28"/>
  <c r="G47" i="28"/>
  <c r="G44" i="29"/>
  <c r="G43" i="29"/>
  <c r="E107" i="28" l="1"/>
  <c r="E141" i="28"/>
  <c r="E142" i="28" l="1"/>
  <c r="E106" i="28"/>
  <c r="C139" i="28"/>
  <c r="G77" i="28" s="1"/>
  <c r="C101" i="28"/>
  <c r="G78" i="28" s="1"/>
  <c r="C126" i="29"/>
  <c r="C93" i="29"/>
  <c r="G70" i="29" s="1"/>
  <c r="H119" i="29" l="1"/>
  <c r="G69" i="29"/>
  <c r="J94" i="28"/>
  <c r="J132" i="28"/>
  <c r="H86" i="29"/>
  <c r="H139" i="28"/>
  <c r="G154" i="27" l="1"/>
  <c r="D154" i="27"/>
  <c r="H154" i="27"/>
  <c r="F126" i="29"/>
  <c r="E154" i="27"/>
  <c r="I154" i="27"/>
  <c r="F154" i="27"/>
  <c r="J154" i="27"/>
  <c r="E139" i="28"/>
  <c r="F139" i="28"/>
  <c r="G139" i="28"/>
  <c r="E126" i="29"/>
  <c r="C100" i="28" l="1"/>
  <c r="C125" i="29"/>
  <c r="I7" i="30"/>
  <c r="I3" i="30"/>
  <c r="I4" i="30"/>
  <c r="I5" i="30"/>
  <c r="C153" i="27" l="1"/>
  <c r="C110" i="27"/>
  <c r="J153" i="27" s="1"/>
  <c r="H138" i="28"/>
  <c r="D138" i="28"/>
  <c r="F100" i="28"/>
  <c r="H100" i="28"/>
  <c r="G138" i="28"/>
  <c r="E100" i="28"/>
  <c r="F138" i="28"/>
  <c r="D100" i="28"/>
  <c r="E138" i="28"/>
  <c r="G100" i="28"/>
  <c r="C138" i="28"/>
  <c r="C92" i="29"/>
  <c r="F125" i="29" l="1"/>
  <c r="G110" i="27"/>
  <c r="E153" i="27"/>
  <c r="I110" i="27"/>
  <c r="F153" i="27"/>
  <c r="D153" i="27"/>
  <c r="J110" i="27"/>
  <c r="H110" i="27"/>
  <c r="F110" i="27"/>
  <c r="E110" i="27"/>
  <c r="D110" i="27"/>
  <c r="I153" i="27"/>
  <c r="H153" i="27"/>
  <c r="G153" i="27"/>
  <c r="E92" i="29"/>
  <c r="E125" i="29"/>
  <c r="D125" i="29"/>
  <c r="F92" i="29"/>
  <c r="D92" i="29"/>
  <c r="L32" i="29" l="1"/>
  <c r="G30" i="29"/>
  <c r="G33" i="29" s="1"/>
  <c r="L31" i="29"/>
  <c r="E86" i="27"/>
  <c r="M35" i="27" l="1"/>
  <c r="M34" i="27"/>
  <c r="M33" i="27"/>
  <c r="M36" i="27"/>
  <c r="G32" i="27"/>
  <c r="G34" i="27" s="1"/>
  <c r="L33" i="29"/>
  <c r="M33" i="29" s="1"/>
  <c r="L60" i="29"/>
  <c r="L36" i="29"/>
  <c r="L61" i="29"/>
  <c r="G36" i="29"/>
  <c r="J61" i="29"/>
  <c r="L62" i="29"/>
  <c r="L37" i="29"/>
  <c r="E76" i="28"/>
  <c r="I157" i="27"/>
  <c r="I156" i="27"/>
  <c r="G157" i="27"/>
  <c r="G156" i="27"/>
  <c r="E157" i="27"/>
  <c r="E156" i="27"/>
  <c r="D139" i="28"/>
  <c r="J148" i="27"/>
  <c r="I148" i="27"/>
  <c r="H148" i="27"/>
  <c r="G148" i="27"/>
  <c r="F148" i="27"/>
  <c r="E148" i="27"/>
  <c r="D148" i="27"/>
  <c r="C148" i="27"/>
  <c r="I117" i="27"/>
  <c r="I116" i="27"/>
  <c r="G117" i="27"/>
  <c r="G116" i="27"/>
  <c r="E116" i="27"/>
  <c r="I112" i="27"/>
  <c r="G112" i="27"/>
  <c r="E112" i="27"/>
  <c r="D111" i="27"/>
  <c r="E111" i="27" s="1"/>
  <c r="F111" i="27" s="1"/>
  <c r="G111" i="27" s="1"/>
  <c r="H111" i="27" s="1"/>
  <c r="I111" i="27" s="1"/>
  <c r="J111" i="27" s="1"/>
  <c r="J105" i="27"/>
  <c r="I105" i="27"/>
  <c r="H105" i="27"/>
  <c r="G105" i="27"/>
  <c r="F105" i="27"/>
  <c r="E105" i="27"/>
  <c r="D105" i="27"/>
  <c r="C105" i="27"/>
  <c r="D129" i="29"/>
  <c r="F127" i="29"/>
  <c r="D127" i="29"/>
  <c r="D126" i="29"/>
  <c r="F124" i="29"/>
  <c r="F120" i="29"/>
  <c r="E120" i="29"/>
  <c r="D120" i="29"/>
  <c r="C120" i="29"/>
  <c r="F97" i="29"/>
  <c r="D97" i="29"/>
  <c r="F91" i="29"/>
  <c r="F87" i="29"/>
  <c r="E87" i="29"/>
  <c r="D87" i="29"/>
  <c r="C87" i="29"/>
  <c r="E129" i="29"/>
  <c r="F129" i="29" s="1"/>
  <c r="E128" i="29"/>
  <c r="F128" i="29" s="1"/>
  <c r="D128" i="29"/>
  <c r="E99" i="29"/>
  <c r="E98" i="29"/>
  <c r="F98" i="29" s="1"/>
  <c r="D98" i="29"/>
  <c r="E94" i="29"/>
  <c r="F94" i="29" s="1"/>
  <c r="D94" i="29"/>
  <c r="D93" i="29"/>
  <c r="G31" i="28" l="1"/>
  <c r="L32" i="28"/>
  <c r="C134" i="28" s="1"/>
  <c r="L34" i="28"/>
  <c r="L33" i="28"/>
  <c r="M43" i="27"/>
  <c r="M40" i="27"/>
  <c r="L74" i="27"/>
  <c r="L73" i="27"/>
  <c r="M37" i="27"/>
  <c r="N37" i="27" s="1"/>
  <c r="M41" i="27"/>
  <c r="K75" i="27"/>
  <c r="M42" i="27"/>
  <c r="G40" i="29"/>
  <c r="L45" i="29" s="1"/>
  <c r="K62" i="29" s="1"/>
  <c r="M62" i="29" s="1"/>
  <c r="G39" i="29"/>
  <c r="E67" i="29"/>
  <c r="E124" i="29"/>
  <c r="E93" i="29"/>
  <c r="F93" i="29"/>
  <c r="D99" i="29"/>
  <c r="F99" i="29"/>
  <c r="E101" i="28"/>
  <c r="J155" i="27"/>
  <c r="H155" i="27"/>
  <c r="F155" i="27"/>
  <c r="D155" i="27"/>
  <c r="E152" i="27"/>
  <c r="C152" i="27"/>
  <c r="J152" i="27" s="1"/>
  <c r="J115" i="27"/>
  <c r="H115" i="27"/>
  <c r="F115" i="27"/>
  <c r="D115" i="27"/>
  <c r="G109" i="27"/>
  <c r="C109" i="27"/>
  <c r="C137" i="28"/>
  <c r="D112" i="27"/>
  <c r="F112" i="27"/>
  <c r="H112" i="27"/>
  <c r="J112" i="27"/>
  <c r="D116" i="27"/>
  <c r="F116" i="27"/>
  <c r="H116" i="27"/>
  <c r="J116" i="27"/>
  <c r="D117" i="27"/>
  <c r="F117" i="27"/>
  <c r="H117" i="27"/>
  <c r="J117" i="27"/>
  <c r="D156" i="27"/>
  <c r="F156" i="27"/>
  <c r="H156" i="27"/>
  <c r="J156" i="27"/>
  <c r="D157" i="27"/>
  <c r="F157" i="27"/>
  <c r="H157" i="27"/>
  <c r="J157" i="27"/>
  <c r="L40" i="29" l="1"/>
  <c r="L44" i="29" s="1"/>
  <c r="E66" i="29"/>
  <c r="G33" i="28"/>
  <c r="L40" i="28"/>
  <c r="L66" i="28"/>
  <c r="L65" i="28"/>
  <c r="L38" i="28"/>
  <c r="L35" i="28"/>
  <c r="M35" i="28" s="1"/>
  <c r="L39" i="28"/>
  <c r="K67" i="28"/>
  <c r="G39" i="27"/>
  <c r="L75" i="27"/>
  <c r="J74" i="27"/>
  <c r="L41" i="29"/>
  <c r="E109" i="27"/>
  <c r="I149" i="27"/>
  <c r="I150" i="27" s="1"/>
  <c r="H109" i="27"/>
  <c r="I106" i="27"/>
  <c r="I107" i="27" s="1"/>
  <c r="H101" i="28"/>
  <c r="G101" i="28"/>
  <c r="F101" i="28"/>
  <c r="D101" i="28"/>
  <c r="H152" i="27"/>
  <c r="G152" i="27"/>
  <c r="F152" i="27"/>
  <c r="J109" i="27"/>
  <c r="F109" i="27"/>
  <c r="I152" i="27"/>
  <c r="I109" i="27"/>
  <c r="K60" i="29" l="1"/>
  <c r="M60" i="29" s="1"/>
  <c r="E65" i="29"/>
  <c r="G68" i="29" s="1"/>
  <c r="K61" i="29"/>
  <c r="M61" i="29" s="1"/>
  <c r="J66" i="28"/>
  <c r="G37" i="28"/>
  <c r="L67" i="28"/>
  <c r="G45" i="27"/>
  <c r="G44" i="27"/>
  <c r="D138" i="27"/>
  <c r="I113" i="27"/>
  <c r="I114" i="27" s="1"/>
  <c r="C138" i="27"/>
  <c r="F138" i="27"/>
  <c r="D178" i="27"/>
  <c r="C178" i="27"/>
  <c r="E178" i="27"/>
  <c r="J149" i="27"/>
  <c r="J150" i="27" s="1"/>
  <c r="J106" i="27"/>
  <c r="J107" i="27" s="1"/>
  <c r="M46" i="27" l="1"/>
  <c r="M52" i="27" s="1"/>
  <c r="G42" i="28"/>
  <c r="G41" i="28"/>
  <c r="H138" i="27"/>
  <c r="J113" i="27"/>
  <c r="G138" i="27"/>
  <c r="J138" i="27"/>
  <c r="G178" i="27"/>
  <c r="F178" i="27"/>
  <c r="H178" i="27"/>
  <c r="E179" i="27"/>
  <c r="K74" i="27" l="1"/>
  <c r="M74" i="27" s="1"/>
  <c r="K73" i="27"/>
  <c r="M73" i="27" s="1"/>
  <c r="L43" i="28"/>
  <c r="L48" i="28" s="1"/>
  <c r="K66" i="28" s="1"/>
  <c r="M66" i="28" s="1"/>
  <c r="H179" i="27"/>
  <c r="K65" i="28" l="1"/>
  <c r="M65" i="28" s="1"/>
  <c r="J114" i="27"/>
  <c r="E138" i="27"/>
  <c r="F139" i="27" s="1"/>
  <c r="C95" i="28"/>
  <c r="D95" i="28"/>
  <c r="E95" i="28"/>
  <c r="F95" i="28"/>
  <c r="G95" i="28"/>
  <c r="H95" i="28"/>
  <c r="H99" i="28"/>
  <c r="E99" i="28"/>
  <c r="F102" i="28"/>
  <c r="H102" i="28"/>
  <c r="D105" i="28"/>
  <c r="F105" i="28"/>
  <c r="H105" i="28"/>
  <c r="F106" i="28"/>
  <c r="G106" i="28"/>
  <c r="D107" i="28"/>
  <c r="F107" i="28"/>
  <c r="G107" i="28"/>
  <c r="H107" i="28" s="1"/>
  <c r="C133" i="28"/>
  <c r="D133" i="28"/>
  <c r="E133" i="28"/>
  <c r="F133" i="28"/>
  <c r="G133" i="28"/>
  <c r="H133" i="28"/>
  <c r="H137" i="28"/>
  <c r="E137" i="28"/>
  <c r="D140" i="28"/>
  <c r="F140" i="28"/>
  <c r="H140" i="28"/>
  <c r="F141" i="28"/>
  <c r="G141" i="28"/>
  <c r="D142" i="28"/>
  <c r="F142" i="28"/>
  <c r="G142" i="28"/>
  <c r="H142" i="28" s="1"/>
  <c r="H141" i="28" l="1"/>
  <c r="D106" i="28"/>
  <c r="D141" i="28"/>
  <c r="H106" i="28"/>
  <c r="I138" i="27"/>
  <c r="J139" i="27" s="1"/>
  <c r="D102" i="28"/>
  <c r="F99" i="28"/>
  <c r="G99" i="28"/>
  <c r="G137" i="28"/>
  <c r="F137" i="28"/>
  <c r="E121" i="29" l="1"/>
  <c r="E122" i="29" s="1"/>
  <c r="C88" i="29"/>
  <c r="C121" i="29"/>
  <c r="C122" i="29" s="1"/>
  <c r="E88" i="29"/>
  <c r="E89" i="29" s="1"/>
  <c r="E135" i="29" l="1"/>
  <c r="D135" i="29"/>
  <c r="C135" i="29"/>
  <c r="F110" i="29"/>
  <c r="E95" i="29"/>
  <c r="C110" i="29"/>
  <c r="D110" i="29"/>
  <c r="D88" i="29"/>
  <c r="D89" i="29" s="1"/>
  <c r="C89" i="29"/>
  <c r="E140" i="29"/>
  <c r="D140" i="29"/>
  <c r="C140" i="29"/>
  <c r="F121" i="29"/>
  <c r="F122" i="29" s="1"/>
  <c r="D121" i="29"/>
  <c r="D122" i="29" s="1"/>
  <c r="F88" i="29"/>
  <c r="F89" i="29" s="1"/>
  <c r="E96" i="29" l="1"/>
  <c r="E110" i="29" s="1"/>
  <c r="G105" i="29"/>
  <c r="D95" i="29"/>
  <c r="J105" i="29"/>
  <c r="H105" i="29"/>
  <c r="F95" i="29"/>
  <c r="J110" i="29"/>
  <c r="G110" i="29"/>
  <c r="H110" i="29"/>
  <c r="H135" i="29"/>
  <c r="F135" i="29"/>
  <c r="G135" i="29"/>
  <c r="H140" i="29"/>
  <c r="G140" i="29"/>
  <c r="F140" i="29"/>
  <c r="C95" i="29"/>
  <c r="F105" i="29"/>
  <c r="D105" i="29"/>
  <c r="C105" i="29"/>
  <c r="E141" i="29"/>
  <c r="C96" i="29" l="1"/>
  <c r="E105" i="29" s="1"/>
  <c r="F106" i="29" s="1"/>
  <c r="H141" i="29"/>
  <c r="F96" i="29"/>
  <c r="E136" i="29"/>
  <c r="H136" i="29"/>
  <c r="D96" i="29" l="1"/>
  <c r="I105" i="29" s="1"/>
  <c r="J106" i="29" s="1"/>
  <c r="J136" i="29"/>
  <c r="I110" i="29"/>
  <c r="J111" i="29" s="1"/>
  <c r="F111" i="29"/>
  <c r="L107" i="29" l="1"/>
  <c r="L108" i="29" s="1"/>
  <c r="I66" i="29" s="1"/>
  <c r="M65" i="29"/>
  <c r="J137" i="29"/>
  <c r="M66" i="29" s="1"/>
  <c r="I65" i="29" l="1"/>
  <c r="K28" i="28"/>
  <c r="L28" i="28" s="1"/>
  <c r="G34" i="28"/>
  <c r="L29" i="27"/>
  <c r="M29" i="27" s="1"/>
  <c r="L27" i="27"/>
  <c r="M27" i="27" s="1"/>
  <c r="G35" i="27"/>
  <c r="J29" i="28" l="1"/>
  <c r="G36" i="27"/>
  <c r="G41" i="27" s="1"/>
  <c r="K68" i="28"/>
  <c r="L70" i="28"/>
  <c r="L69" i="28"/>
  <c r="J68" i="28"/>
  <c r="J69" i="28"/>
  <c r="G38" i="28"/>
  <c r="L28" i="27"/>
  <c r="M28" i="27" s="1"/>
  <c r="K76" i="27"/>
  <c r="L77" i="27"/>
  <c r="L80" i="27"/>
  <c r="K78" i="27"/>
  <c r="L79" i="27"/>
  <c r="J77" i="27"/>
  <c r="J76" i="27"/>
  <c r="G40" i="27"/>
  <c r="E75" i="28"/>
  <c r="K30" i="27" l="1"/>
  <c r="G43" i="28"/>
  <c r="G44" i="28"/>
  <c r="L45" i="28" s="1"/>
  <c r="L50" i="28" s="1"/>
  <c r="J78" i="27"/>
  <c r="J79" i="27"/>
  <c r="G47" i="27"/>
  <c r="G46" i="27"/>
  <c r="G49" i="27"/>
  <c r="M49" i="27" s="1"/>
  <c r="M55" i="27" s="1"/>
  <c r="G48" i="27"/>
  <c r="E134" i="28"/>
  <c r="E135" i="28" s="1"/>
  <c r="G134" i="28"/>
  <c r="G135" i="28" s="1"/>
  <c r="E106" i="27"/>
  <c r="E107" i="27" s="1"/>
  <c r="E149" i="27"/>
  <c r="E150" i="27" s="1"/>
  <c r="C149" i="27"/>
  <c r="C150" i="27" s="1"/>
  <c r="C106" i="27"/>
  <c r="C107" i="27" s="1"/>
  <c r="G106" i="27"/>
  <c r="G107" i="27" s="1"/>
  <c r="G149" i="27"/>
  <c r="G150" i="27" s="1"/>
  <c r="E85" i="27"/>
  <c r="G96" i="28"/>
  <c r="G97" i="28" s="1"/>
  <c r="C96" i="28"/>
  <c r="C97" i="28" s="1"/>
  <c r="E96" i="28"/>
  <c r="E97" i="28" s="1"/>
  <c r="M47" i="27" l="1"/>
  <c r="M53" i="27" s="1"/>
  <c r="E84" i="27"/>
  <c r="L44" i="28"/>
  <c r="L49" i="28" s="1"/>
  <c r="E74" i="28"/>
  <c r="K69" i="28"/>
  <c r="M69" i="28" s="1"/>
  <c r="K70" i="28"/>
  <c r="M70" i="28" s="1"/>
  <c r="C153" i="28"/>
  <c r="E153" i="28"/>
  <c r="D153" i="28"/>
  <c r="C103" i="28"/>
  <c r="E113" i="28" s="1"/>
  <c r="C113" i="28"/>
  <c r="D113" i="28"/>
  <c r="F113" i="28"/>
  <c r="C118" i="28"/>
  <c r="E103" i="28"/>
  <c r="E118" i="28" s="1"/>
  <c r="F118" i="28"/>
  <c r="D118" i="28"/>
  <c r="C123" i="28"/>
  <c r="G103" i="28"/>
  <c r="E123" i="28" s="1"/>
  <c r="D123" i="28"/>
  <c r="F123" i="28"/>
  <c r="D134" i="28"/>
  <c r="D135" i="28" s="1"/>
  <c r="C135" i="28"/>
  <c r="C158" i="28"/>
  <c r="D158" i="28"/>
  <c r="E158" i="28"/>
  <c r="M48" i="27"/>
  <c r="M54" i="27" s="1"/>
  <c r="L78" i="27" s="1"/>
  <c r="M78" i="27" s="1"/>
  <c r="C163" i="27"/>
  <c r="D163" i="27"/>
  <c r="E163" i="27"/>
  <c r="E173" i="27"/>
  <c r="D173" i="27"/>
  <c r="C173" i="27"/>
  <c r="D168" i="27"/>
  <c r="E168" i="27"/>
  <c r="C168" i="27"/>
  <c r="K80" i="27"/>
  <c r="M80" i="27" s="1"/>
  <c r="K79" i="27"/>
  <c r="M79" i="27" s="1"/>
  <c r="C113" i="27"/>
  <c r="C114" i="27" s="1"/>
  <c r="C123" i="27"/>
  <c r="D123" i="27"/>
  <c r="F123" i="27"/>
  <c r="F133" i="27"/>
  <c r="G113" i="27"/>
  <c r="G114" i="27" s="1"/>
  <c r="C133" i="27"/>
  <c r="D133" i="27"/>
  <c r="D128" i="27"/>
  <c r="E113" i="27"/>
  <c r="E114" i="27" s="1"/>
  <c r="C128" i="27"/>
  <c r="F128" i="27"/>
  <c r="L76" i="27"/>
  <c r="M76" i="27" s="1"/>
  <c r="J75" i="27"/>
  <c r="M75" i="27" s="1"/>
  <c r="F134" i="28"/>
  <c r="F135" i="28" s="1"/>
  <c r="H134" i="28"/>
  <c r="H135" i="28" s="1"/>
  <c r="H149" i="27"/>
  <c r="H150" i="27" s="1"/>
  <c r="D149" i="27"/>
  <c r="D150" i="27" s="1"/>
  <c r="H106" i="27"/>
  <c r="H107" i="27" s="1"/>
  <c r="F149" i="27"/>
  <c r="F150" i="27" s="1"/>
  <c r="F106" i="27"/>
  <c r="F107" i="27" s="1"/>
  <c r="D106" i="27"/>
  <c r="D107" i="27" s="1"/>
  <c r="F96" i="28"/>
  <c r="F97" i="28" s="1"/>
  <c r="H96" i="28"/>
  <c r="H97" i="28" s="1"/>
  <c r="D96" i="28"/>
  <c r="D97" i="28" s="1"/>
  <c r="J67" i="28" l="1"/>
  <c r="M67" i="28" s="1"/>
  <c r="E73" i="28"/>
  <c r="E83" i="27"/>
  <c r="G86" i="27" s="1"/>
  <c r="L68" i="28"/>
  <c r="M68" i="28" s="1"/>
  <c r="G118" i="28"/>
  <c r="F103" i="28"/>
  <c r="H118" i="28"/>
  <c r="J118" i="28"/>
  <c r="F158" i="28"/>
  <c r="G158" i="28"/>
  <c r="H158" i="28"/>
  <c r="F148" i="28"/>
  <c r="G148" i="28"/>
  <c r="H148" i="28"/>
  <c r="F153" i="28"/>
  <c r="G153" i="28"/>
  <c r="H153" i="28"/>
  <c r="G113" i="28"/>
  <c r="D103" i="28"/>
  <c r="H113" i="28"/>
  <c r="J113" i="28"/>
  <c r="D104" i="28"/>
  <c r="I113" i="28" s="1"/>
  <c r="G123" i="28"/>
  <c r="H103" i="28"/>
  <c r="H123" i="28"/>
  <c r="J123" i="28"/>
  <c r="C148" i="28"/>
  <c r="D148" i="28"/>
  <c r="E148" i="28"/>
  <c r="K77" i="27"/>
  <c r="M77" i="27" s="1"/>
  <c r="H128" i="27"/>
  <c r="F113" i="27"/>
  <c r="J128" i="27"/>
  <c r="G128" i="27"/>
  <c r="G173" i="27"/>
  <c r="H173" i="27"/>
  <c r="F173" i="27"/>
  <c r="G168" i="27"/>
  <c r="H168" i="27"/>
  <c r="F168" i="27"/>
  <c r="J133" i="27"/>
  <c r="H113" i="27"/>
  <c r="G133" i="27"/>
  <c r="H133" i="27"/>
  <c r="D113" i="27"/>
  <c r="G123" i="27"/>
  <c r="H123" i="27"/>
  <c r="J123" i="27"/>
  <c r="G163" i="27"/>
  <c r="F163" i="27"/>
  <c r="H163" i="27"/>
  <c r="D114" i="27"/>
  <c r="I123" i="27" s="1"/>
  <c r="E123" i="27"/>
  <c r="E159" i="28"/>
  <c r="E154" i="28"/>
  <c r="H149" i="28" l="1"/>
  <c r="H154" i="28"/>
  <c r="H114" i="27"/>
  <c r="I133" i="27" s="1"/>
  <c r="J134" i="27" s="1"/>
  <c r="E133" i="27"/>
  <c r="F134" i="27" s="1"/>
  <c r="F114" i="27"/>
  <c r="I128" i="27" s="1"/>
  <c r="J129" i="27" s="1"/>
  <c r="E128" i="27"/>
  <c r="F129" i="27" s="1"/>
  <c r="H159" i="28"/>
  <c r="E149" i="28"/>
  <c r="F104" i="28"/>
  <c r="H104" i="28"/>
  <c r="J124" i="27"/>
  <c r="H174" i="27"/>
  <c r="E174" i="27"/>
  <c r="H169" i="27"/>
  <c r="E169" i="27"/>
  <c r="E164" i="27"/>
  <c r="F124" i="27"/>
  <c r="H164" i="27"/>
  <c r="J114" i="28"/>
  <c r="F114" i="28"/>
  <c r="J152" i="28" l="1"/>
  <c r="J153" i="28" s="1"/>
  <c r="J170" i="27"/>
  <c r="L130" i="27"/>
  <c r="I118" i="28"/>
  <c r="J119" i="28" s="1"/>
  <c r="I123" i="28"/>
  <c r="J124" i="28" s="1"/>
  <c r="F124" i="28"/>
  <c r="F119" i="28"/>
  <c r="L120" i="28" l="1"/>
  <c r="J171" i="27"/>
  <c r="M84" i="27" s="1"/>
  <c r="M83" i="27"/>
  <c r="L131" i="27"/>
  <c r="I84" i="27" s="1"/>
  <c r="I83" i="27"/>
  <c r="M73" i="28"/>
  <c r="M74" i="28"/>
  <c r="I73" i="28" l="1"/>
  <c r="L121" i="28"/>
  <c r="I74" i="28" l="1"/>
  <c r="G76" i="28"/>
</calcChain>
</file>

<file path=xl/comments1.xml><?xml version="1.0" encoding="utf-8"?>
<comments xmlns="http://schemas.openxmlformats.org/spreadsheetml/2006/main">
  <authors>
    <author>Jared S. Hensley</author>
  </authors>
  <commentList>
    <comment ref="G81" authorId="0" shapeId="0">
      <text>
        <r>
          <rPr>
            <b/>
            <sz val="9"/>
            <color indexed="81"/>
            <rFont val="Tahoma"/>
            <family val="2"/>
          </rPr>
          <t>APA:</t>
        </r>
        <r>
          <rPr>
            <sz val="9"/>
            <color indexed="81"/>
            <rFont val="Tahoma"/>
            <family val="2"/>
          </rPr>
          <t xml:space="preserve">
Input modulus of elasticity (E) for the wood species utilized in the wall framing studs as referenced in 2015 Design Values For Wood Construction - NDS Supplement Table 4A, given in pounds per square inch (psi) .</t>
        </r>
      </text>
    </comment>
    <comment ref="K83" authorId="0" shapeId="0">
      <text>
        <r>
          <rPr>
            <b/>
            <sz val="9"/>
            <color indexed="81"/>
            <rFont val="Tahoma"/>
            <family val="2"/>
          </rPr>
          <t>APA:</t>
        </r>
        <r>
          <rPr>
            <sz val="9"/>
            <color indexed="81"/>
            <rFont val="Tahoma"/>
            <family val="2"/>
          </rPr>
          <t xml:space="preserve">
Input hold down capacity value given in pounds (lb) as published by hold down manufacturer.</t>
        </r>
      </text>
    </comment>
    <comment ref="B84" authorId="0" shapeId="0">
      <text>
        <r>
          <rPr>
            <b/>
            <sz val="9"/>
            <color indexed="81"/>
            <rFont val="Tahoma"/>
            <family val="2"/>
          </rPr>
          <t>APA:</t>
        </r>
        <r>
          <rPr>
            <sz val="9"/>
            <color indexed="81"/>
            <rFont val="Tahoma"/>
            <family val="2"/>
          </rPr>
          <t xml:space="preserve">
APA:
"Gt Override and Ga Override" are to be used in case of unique circumstances where specialty sheathing materials are to be used. These overrides can also be used to increase plywood values for specific panel construction types, i.e. specifying ply counts. </t>
        </r>
      </text>
    </comment>
    <comment ref="K84" authorId="0" shapeId="0">
      <text>
        <r>
          <rPr>
            <b/>
            <sz val="9"/>
            <color indexed="81"/>
            <rFont val="Tahoma"/>
            <family val="2"/>
          </rPr>
          <t>APA:</t>
        </r>
        <r>
          <rPr>
            <sz val="9"/>
            <color indexed="81"/>
            <rFont val="Tahoma"/>
            <family val="2"/>
          </rPr>
          <t xml:space="preserve">
Input deflection of hold down under load from maximum HD capacity given in inches (in) as published by hold down manufacturer.</t>
        </r>
      </text>
    </comment>
    <comment ref="G85" authorId="0" shapeId="0">
      <text>
        <r>
          <rPr>
            <b/>
            <sz val="9"/>
            <color indexed="81"/>
            <rFont val="Tahoma"/>
            <family val="2"/>
          </rPr>
          <t>APA:</t>
        </r>
        <r>
          <rPr>
            <sz val="9"/>
            <color indexed="81"/>
            <rFont val="Tahoma"/>
            <family val="2"/>
          </rPr>
          <t xml:space="preserve">
"A Override" is to be used in case of unique circumstances where the nominal size of the framing members used for the shear wall end post is composed of members not listed in the "Stud Size" drop down table. </t>
        </r>
      </text>
    </comment>
  </commentList>
</comments>
</file>

<file path=xl/comments2.xml><?xml version="1.0" encoding="utf-8"?>
<comments xmlns="http://schemas.openxmlformats.org/spreadsheetml/2006/main">
  <authors>
    <author>Alese Ashuckian</author>
    <author>Jared S. Hensley</author>
  </authors>
  <commentList>
    <comment ref="K24" authorId="0" shapeId="0">
      <text>
        <r>
          <rPr>
            <b/>
            <sz val="9"/>
            <color indexed="81"/>
            <rFont val="Tahoma"/>
            <family val="2"/>
          </rPr>
          <t>Alese Ashuckian:</t>
        </r>
        <r>
          <rPr>
            <sz val="9"/>
            <color indexed="81"/>
            <rFont val="Tahoma"/>
            <family val="2"/>
          </rPr>
          <t xml:space="preserve">
Adjustment factor method per 2015 SDPWS Section 4.3.3.4.1 or 4.3.4.2.</t>
        </r>
      </text>
    </comment>
    <comment ref="G75" authorId="1" shapeId="0">
      <text>
        <r>
          <rPr>
            <b/>
            <sz val="9"/>
            <color indexed="81"/>
            <rFont val="Tahoma"/>
            <family val="2"/>
          </rPr>
          <t>APA:</t>
        </r>
        <r>
          <rPr>
            <sz val="9"/>
            <color indexed="81"/>
            <rFont val="Tahoma"/>
            <family val="2"/>
          </rPr>
          <t xml:space="preserve">
Input modulus of elasticity (E) for the wood species utilized in the wall framing studs as referenced in 2015 Design Values For Wood Construction - NDS Supplement Table 4A, given in pounds per square inch (psi).</t>
        </r>
      </text>
    </comment>
    <comment ref="K77" authorId="1" shapeId="0">
      <text>
        <r>
          <rPr>
            <b/>
            <sz val="9"/>
            <color indexed="81"/>
            <rFont val="Tahoma"/>
            <family val="2"/>
          </rPr>
          <t>APA:</t>
        </r>
        <r>
          <rPr>
            <sz val="9"/>
            <color indexed="81"/>
            <rFont val="Tahoma"/>
            <family val="2"/>
          </rPr>
          <t xml:space="preserve">
Input hold down capacity value given in pounds (lb) as published by hold down manufacturer.</t>
        </r>
      </text>
    </comment>
    <comment ref="B78" authorId="1" shapeId="0">
      <text>
        <r>
          <rPr>
            <b/>
            <sz val="9"/>
            <color indexed="81"/>
            <rFont val="Tahoma"/>
            <family val="2"/>
          </rPr>
          <t>APA:</t>
        </r>
        <r>
          <rPr>
            <sz val="9"/>
            <color indexed="81"/>
            <rFont val="Tahoma"/>
            <family val="2"/>
          </rPr>
          <t xml:space="preserve">
APA:
"Gt Override and Ga Override" are to be used in case of unique circumstances where specialty sheathing materials are to be used. These overrides can also be used to increase plywood values for specific panel construction types, i.e. specifying ply counts. </t>
        </r>
      </text>
    </comment>
    <comment ref="K78" authorId="1" shapeId="0">
      <text>
        <r>
          <rPr>
            <b/>
            <sz val="9"/>
            <color indexed="81"/>
            <rFont val="Tahoma"/>
            <family val="2"/>
          </rPr>
          <t>APA:</t>
        </r>
        <r>
          <rPr>
            <sz val="9"/>
            <color indexed="81"/>
            <rFont val="Tahoma"/>
            <family val="2"/>
          </rPr>
          <t xml:space="preserve">
Input deflection of hold down under load from maximum HD capacity given in inches (in) as published by hold down manufacturer.</t>
        </r>
      </text>
    </comment>
    <comment ref="G79" authorId="1" shapeId="0">
      <text>
        <r>
          <rPr>
            <b/>
            <sz val="9"/>
            <color indexed="81"/>
            <rFont val="Tahoma"/>
            <family val="2"/>
          </rPr>
          <t>APA:</t>
        </r>
        <r>
          <rPr>
            <sz val="9"/>
            <color indexed="81"/>
            <rFont val="Tahoma"/>
            <family val="2"/>
          </rPr>
          <t xml:space="preserve">
"A Override" is to be used in case of unique circumstances where the nominal size of the framing members used for the shear wall end post is composed of members not listed in the "Stud Size" drop down table. </t>
        </r>
      </text>
    </comment>
  </commentList>
</comments>
</file>

<file path=xl/comments3.xml><?xml version="1.0" encoding="utf-8"?>
<comments xmlns="http://schemas.openxmlformats.org/spreadsheetml/2006/main">
  <authors>
    <author>Alese Ashuckian</author>
    <author>Jared S. Hensley</author>
  </authors>
  <commentList>
    <comment ref="L24" authorId="0" shapeId="0">
      <text>
        <r>
          <rPr>
            <b/>
            <sz val="9"/>
            <color indexed="81"/>
            <rFont val="Tahoma"/>
            <family val="2"/>
          </rPr>
          <t>Alese Ashuckian:</t>
        </r>
        <r>
          <rPr>
            <sz val="9"/>
            <color indexed="81"/>
            <rFont val="Tahoma"/>
            <family val="2"/>
          </rPr>
          <t xml:space="preserve">
Adjustment factor method per 2015 SDPWS Section 4.3.3.4.1 or 4.3.4.2.</t>
        </r>
      </text>
    </comment>
    <comment ref="G83" authorId="1" shapeId="0">
      <text>
        <r>
          <rPr>
            <b/>
            <sz val="9"/>
            <color indexed="81"/>
            <rFont val="Tahoma"/>
            <family val="2"/>
          </rPr>
          <t>APA:</t>
        </r>
        <r>
          <rPr>
            <sz val="9"/>
            <color indexed="81"/>
            <rFont val="Tahoma"/>
            <family val="2"/>
          </rPr>
          <t xml:space="preserve">
Input modulus of elasticity (E) for the wood species utilized in the wall framing studs as referenced in 2015 Design Values For Wood Construction - NDS Supplement Table 4A, given in pounds per square inch (psi) .</t>
        </r>
      </text>
    </comment>
    <comment ref="K85" authorId="1" shapeId="0">
      <text>
        <r>
          <rPr>
            <b/>
            <sz val="9"/>
            <color indexed="81"/>
            <rFont val="Tahoma"/>
            <family val="2"/>
          </rPr>
          <t>APA:</t>
        </r>
        <r>
          <rPr>
            <sz val="9"/>
            <color indexed="81"/>
            <rFont val="Tahoma"/>
            <family val="2"/>
          </rPr>
          <t xml:space="preserve">
Input hold down capacity value given in pounds (lb) as published by hold down manufacturer.</t>
        </r>
      </text>
    </comment>
    <comment ref="B86" authorId="1" shapeId="0">
      <text>
        <r>
          <rPr>
            <b/>
            <sz val="9"/>
            <color indexed="81"/>
            <rFont val="Tahoma"/>
            <family val="2"/>
          </rPr>
          <t>APA:</t>
        </r>
        <r>
          <rPr>
            <sz val="9"/>
            <color indexed="81"/>
            <rFont val="Tahoma"/>
            <family val="2"/>
          </rPr>
          <t xml:space="preserve">
APA:
"Gt Override and Ga Override" are to be used in case of unique circumstances where specialty sheathing materials are to be used. These overrides can also be used to increase plywood values for specific panel construction types, i.e. specifying ply counts. </t>
        </r>
      </text>
    </comment>
    <comment ref="K86" authorId="1" shapeId="0">
      <text>
        <r>
          <rPr>
            <b/>
            <sz val="9"/>
            <color indexed="81"/>
            <rFont val="Tahoma"/>
            <family val="2"/>
          </rPr>
          <t>APA:</t>
        </r>
        <r>
          <rPr>
            <sz val="9"/>
            <color indexed="81"/>
            <rFont val="Tahoma"/>
            <family val="2"/>
          </rPr>
          <t xml:space="preserve">
Input deflection of hold down under load from maximum HD capacity given in inches (in) as published by hold down manufacturer.</t>
        </r>
      </text>
    </comment>
    <comment ref="G87" authorId="1" shapeId="0">
      <text>
        <r>
          <rPr>
            <b/>
            <sz val="9"/>
            <color indexed="81"/>
            <rFont val="Tahoma"/>
            <family val="2"/>
          </rPr>
          <t>APA:</t>
        </r>
        <r>
          <rPr>
            <sz val="9"/>
            <color indexed="81"/>
            <rFont val="Tahoma"/>
            <family val="2"/>
          </rPr>
          <t xml:space="preserve">
"A Override" is to be used in case of unique circumstances where the nominal size of the framing members used for the shear wall end post is composed of members not listed in the "Stud Size" drop down table. </t>
        </r>
      </text>
    </comment>
  </commentList>
</comments>
</file>

<file path=xl/comments4.xml><?xml version="1.0" encoding="utf-8"?>
<comments xmlns="http://schemas.openxmlformats.org/spreadsheetml/2006/main">
  <authors>
    <author>Alese Ashuckian</author>
    <author>Jared S. Hensley</author>
  </authors>
  <commentList>
    <comment ref="M24" authorId="0" shapeId="0">
      <text>
        <r>
          <rPr>
            <b/>
            <sz val="9"/>
            <color indexed="81"/>
            <rFont val="Tahoma"/>
            <family val="2"/>
          </rPr>
          <t>Alese Ashuckian:</t>
        </r>
        <r>
          <rPr>
            <sz val="9"/>
            <color indexed="81"/>
            <rFont val="Tahoma"/>
            <family val="2"/>
          </rPr>
          <t xml:space="preserve">
Adjustment factor method per 2015 SDPWS Section 4.3.3.4.1 or 4.3.4.2.</t>
        </r>
      </text>
    </comment>
    <comment ref="H93" authorId="1" shapeId="0">
      <text>
        <r>
          <rPr>
            <b/>
            <sz val="9"/>
            <color indexed="81"/>
            <rFont val="Tahoma"/>
            <family val="2"/>
          </rPr>
          <t>APA:</t>
        </r>
        <r>
          <rPr>
            <sz val="9"/>
            <color indexed="81"/>
            <rFont val="Tahoma"/>
            <family val="2"/>
          </rPr>
          <t xml:space="preserve">
Input modulus of elasticity (E) for the wood species utilized in the wall framing studs as referenced in 2015 Design Values For Wood Construction - NDS Supplement Table 4A, given in pounds per square inch (psi) .</t>
        </r>
      </text>
    </comment>
    <comment ref="L95" authorId="1" shapeId="0">
      <text>
        <r>
          <rPr>
            <b/>
            <sz val="9"/>
            <color indexed="81"/>
            <rFont val="Tahoma"/>
            <family val="2"/>
          </rPr>
          <t>APA:</t>
        </r>
        <r>
          <rPr>
            <sz val="9"/>
            <color indexed="81"/>
            <rFont val="Tahoma"/>
            <family val="2"/>
          </rPr>
          <t xml:space="preserve">
Input hold down capacity value given in pounds (lb) as published by hold down manufacturer.</t>
        </r>
      </text>
    </comment>
    <comment ref="B96" authorId="1" shapeId="0">
      <text>
        <r>
          <rPr>
            <b/>
            <sz val="9"/>
            <color indexed="81"/>
            <rFont val="Tahoma"/>
            <family val="2"/>
          </rPr>
          <t>APA:</t>
        </r>
        <r>
          <rPr>
            <sz val="9"/>
            <color indexed="81"/>
            <rFont val="Tahoma"/>
            <family val="2"/>
          </rPr>
          <t xml:space="preserve">
APA:
"Gt Override and Ga Override" are to be used in case of unique circumstances where specialty sheathing materials are to be used. These overrides can also be used to increase plywood values for specific panel construction types, i.e. specifying ply counts. </t>
        </r>
      </text>
    </comment>
    <comment ref="L96" authorId="1" shapeId="0">
      <text>
        <r>
          <rPr>
            <b/>
            <sz val="9"/>
            <color indexed="81"/>
            <rFont val="Tahoma"/>
            <family val="2"/>
          </rPr>
          <t>APA:</t>
        </r>
        <r>
          <rPr>
            <sz val="9"/>
            <color indexed="81"/>
            <rFont val="Tahoma"/>
            <family val="2"/>
          </rPr>
          <t xml:space="preserve">
Input deflection of hold down under load from maximum HD capacity given in inches (in) as published by hold down manufacturer.</t>
        </r>
      </text>
    </comment>
    <comment ref="H97" authorId="1" shapeId="0">
      <text>
        <r>
          <rPr>
            <b/>
            <sz val="9"/>
            <color indexed="81"/>
            <rFont val="Tahoma"/>
            <family val="2"/>
          </rPr>
          <t>APA:</t>
        </r>
        <r>
          <rPr>
            <sz val="9"/>
            <color indexed="81"/>
            <rFont val="Tahoma"/>
            <family val="2"/>
          </rPr>
          <t xml:space="preserve">
"A Override" is to be used in case of unique circumstances where the nominal size of the framing members used for the shear wall end post is composed of members not listed in the "Stud Size" drop down table. </t>
        </r>
      </text>
    </comment>
  </commentList>
</comments>
</file>

<file path=xl/sharedStrings.xml><?xml version="1.0" encoding="utf-8"?>
<sst xmlns="http://schemas.openxmlformats.org/spreadsheetml/2006/main" count="1506" uniqueCount="440">
  <si>
    <t>3. Total boundary force above + below openings</t>
  </si>
  <si>
    <t>6. Unit shear beside opening</t>
  </si>
  <si>
    <t>7. Resistance to corner forces</t>
  </si>
  <si>
    <t>9. Unit shear in corner zones</t>
  </si>
  <si>
    <t>2. Unit shear above + below opening</t>
  </si>
  <si>
    <t>Check V1*L1+V2*L2+V3*L3+V4*L4=V?</t>
  </si>
  <si>
    <t>%drift</t>
  </si>
  <si>
    <t>Shear</t>
  </si>
  <si>
    <t>Bending</t>
  </si>
  <si>
    <t>Defl.</t>
  </si>
  <si>
    <t>Term 3</t>
  </si>
  <si>
    <t>Term 2</t>
  </si>
  <si>
    <t>Term 1</t>
  </si>
  <si>
    <t>Total</t>
  </si>
  <si>
    <t>Pier 2 (right)</t>
  </si>
  <si>
    <t>Pier 2 (left)</t>
  </si>
  <si>
    <t>Sum</t>
  </si>
  <si>
    <t>Pier 1 (right)</t>
  </si>
  <si>
    <t>Pier 1 (left)</t>
  </si>
  <si>
    <t>(in.)</t>
  </si>
  <si>
    <t>(lbf)</t>
  </si>
  <si>
    <t>(ft)</t>
  </si>
  <si>
    <t>b:</t>
  </si>
  <si>
    <t>(kips/in.)</t>
  </si>
  <si>
    <t>Ga:</t>
  </si>
  <si>
    <t>A:</t>
  </si>
  <si>
    <t>h:</t>
  </si>
  <si>
    <t>(psi)</t>
  </si>
  <si>
    <t>E:</t>
  </si>
  <si>
    <t>(plf)</t>
  </si>
  <si>
    <r>
      <t>v</t>
    </r>
    <r>
      <rPr>
        <vertAlign val="subscript"/>
        <sz val="11"/>
        <color theme="1"/>
        <rFont val="Calibri"/>
        <family val="2"/>
        <scheme val="minor"/>
      </rPr>
      <t>strength</t>
    </r>
    <r>
      <rPr>
        <sz val="11"/>
        <color theme="1"/>
        <rFont val="Calibri"/>
        <family val="2"/>
        <scheme val="minor"/>
      </rPr>
      <t>:</t>
    </r>
  </si>
  <si>
    <r>
      <t>v</t>
    </r>
    <r>
      <rPr>
        <vertAlign val="subscript"/>
        <sz val="11"/>
        <color theme="1"/>
        <rFont val="Calibri"/>
        <family val="2"/>
        <scheme val="minor"/>
      </rPr>
      <t>asd</t>
    </r>
    <r>
      <rPr>
        <sz val="11"/>
        <color theme="1"/>
        <rFont val="Calibri"/>
        <family val="2"/>
        <scheme val="minor"/>
      </rPr>
      <t>:</t>
    </r>
  </si>
  <si>
    <t>Nail:</t>
  </si>
  <si>
    <t>Sheathing:</t>
  </si>
  <si>
    <t>Pier 2-R</t>
  </si>
  <si>
    <t>Pier 2-L</t>
  </si>
  <si>
    <t>Pier 1-R</t>
  </si>
  <si>
    <t>Pier 1-L</t>
  </si>
  <si>
    <t>HD-2</t>
  </si>
  <si>
    <t>HD-1</t>
  </si>
  <si>
    <t>Term 4</t>
  </si>
  <si>
    <t>e:</t>
  </si>
  <si>
    <t>Vn:</t>
  </si>
  <si>
    <t>Nail Spacing:</t>
  </si>
  <si>
    <t>(lbf/in.)</t>
  </si>
  <si>
    <t>Gt:</t>
  </si>
  <si>
    <t>Pier 3 (right)</t>
  </si>
  <si>
    <t>Pier 3 (left)</t>
  </si>
  <si>
    <t>HD Defl:</t>
  </si>
  <si>
    <t>Pier 3-R</t>
  </si>
  <si>
    <t>Pier 3-L</t>
  </si>
  <si>
    <t>Pier 4-L</t>
  </si>
  <si>
    <t>Pier 4-R</t>
  </si>
  <si>
    <t>HD Capacity:</t>
  </si>
  <si>
    <t>Pier 4 (left)</t>
  </si>
  <si>
    <t>Pier 4 (right)</t>
  </si>
  <si>
    <t>Client:</t>
  </si>
  <si>
    <t>Project:</t>
  </si>
  <si>
    <t>Designer:</t>
  </si>
  <si>
    <t>Date:</t>
  </si>
  <si>
    <t>Project Information</t>
  </si>
  <si>
    <t>Wall Line:</t>
  </si>
  <si>
    <t>Code:</t>
  </si>
  <si>
    <r>
      <t>h</t>
    </r>
    <r>
      <rPr>
        <vertAlign val="subscript"/>
        <sz val="11"/>
        <color theme="1"/>
        <rFont val="Calibri"/>
        <family val="2"/>
        <scheme val="minor"/>
      </rPr>
      <t>wall</t>
    </r>
  </si>
  <si>
    <t>V</t>
  </si>
  <si>
    <t>L1</t>
  </si>
  <si>
    <t>Lo1</t>
  </si>
  <si>
    <t>L2</t>
  </si>
  <si>
    <t>Lo2</t>
  </si>
  <si>
    <t>L3</t>
  </si>
  <si>
    <t>Lo3</t>
  </si>
  <si>
    <t>L4</t>
  </si>
  <si>
    <t>F1 = O1(L1)/(L1+L2) =</t>
  </si>
  <si>
    <t>F2 = O1(L2)/(L1+L2) =</t>
  </si>
  <si>
    <t>F3 = O2(L2)/(L2+L3) =</t>
  </si>
  <si>
    <t>F4 = O2(L3)/(L2+L3) =</t>
  </si>
  <si>
    <t>F5 = O3(L3)/(L3+L4) =</t>
  </si>
  <si>
    <t>F6 = O3(L4)/(L3+L4) =</t>
  </si>
  <si>
    <r>
      <t>L</t>
    </r>
    <r>
      <rPr>
        <vertAlign val="subscript"/>
        <sz val="11"/>
        <color theme="1"/>
        <rFont val="Calibri"/>
        <family val="2"/>
        <scheme val="minor"/>
      </rPr>
      <t>wall</t>
    </r>
  </si>
  <si>
    <t>Check Summary of Shear Values for Three Openings</t>
  </si>
  <si>
    <t>Check Summary of Shear Values for Two Openings</t>
  </si>
  <si>
    <t>(penny weight)</t>
  </si>
  <si>
    <t>Check Total Deflection of Wall System</t>
  </si>
  <si>
    <t>Pier 1</t>
  </si>
  <si>
    <t>Pier 2</t>
  </si>
  <si>
    <t>Pier 3</t>
  </si>
  <si>
    <t>Pier 4</t>
  </si>
  <si>
    <t>Four-Term Equation Deflection Check</t>
  </si>
  <si>
    <t>Three-Term Equation Deflection Check</t>
  </si>
  <si>
    <t>Req. HD Force</t>
  </si>
  <si>
    <t>Req. Strap Force</t>
  </si>
  <si>
    <t>V1 = (V/L)(L1+T1)/L1 =</t>
  </si>
  <si>
    <t>V2 = (V/L)(T2+L2+T3)/L2 =</t>
  </si>
  <si>
    <t>V3 = (V/L)(T4+L3+T5)/L3 =</t>
  </si>
  <si>
    <t>V4 = (V/L)(T6+L4)/L4 =</t>
  </si>
  <si>
    <t>T1 = (L1*Lo1)/(L1+L2) =</t>
  </si>
  <si>
    <t>T2 = (L2*Lo1)/(L1+L2) =</t>
  </si>
  <si>
    <t>T3 = (L2*Lo2)/(L2+L3) =</t>
  </si>
  <si>
    <t>T4 = (L3*Lo2)/(L2+L3) =</t>
  </si>
  <si>
    <t>T5 = (L3*Lo3)/(L3+L4) =</t>
  </si>
  <si>
    <t>T6 = (L4*Lo3)/(L3+L4) =</t>
  </si>
  <si>
    <t>R1-F1 =</t>
  </si>
  <si>
    <t>R2-F2-F3 =</t>
  </si>
  <si>
    <t>R3-F4-F5 =</t>
  </si>
  <si>
    <t>R4-F6 =</t>
  </si>
  <si>
    <t>First opening: O1 = va1 x (Lo1) =</t>
  </si>
  <si>
    <t>Second opening: O2 = va2 x (Lo2) =</t>
  </si>
  <si>
    <t>Third opening: O3 = va3 x (Lo3) =</t>
  </si>
  <si>
    <t>Opening 1</t>
  </si>
  <si>
    <t>Opening 2</t>
  </si>
  <si>
    <t>Opening 3</t>
  </si>
  <si>
    <t>vc1 = (R1-F1)/L1 =</t>
  </si>
  <si>
    <t>vc2 = (R2-F2-F3)/L2 =</t>
  </si>
  <si>
    <t>vc3 = (R3-F4-F5)/L3 =</t>
  </si>
  <si>
    <t>vc4 = (R4-F6)/L4 =</t>
  </si>
  <si>
    <t>Line 1: vc1(ha1+hb1)+V1(ho1)=H?</t>
  </si>
  <si>
    <t>Line 2: va1(ha1+hb1)-vc1(ha1+hb1)-V1(ho1)=0?</t>
  </si>
  <si>
    <t>ha1</t>
  </si>
  <si>
    <t>ho1</t>
  </si>
  <si>
    <t>hb2</t>
  </si>
  <si>
    <t>ha2</t>
  </si>
  <si>
    <t>ho2</t>
  </si>
  <si>
    <t>ha3</t>
  </si>
  <si>
    <t>ho3</t>
  </si>
  <si>
    <t>hb3</t>
  </si>
  <si>
    <t>Line 6: vc3(ha2+hb2)+ V3(ho2) = H?</t>
  </si>
  <si>
    <t>Line 5: va2(ha2+hb2)-vc3(ha2+hb2)-V3(ho2)=0?</t>
  </si>
  <si>
    <t>hb1</t>
  </si>
  <si>
    <t>5. Tributary length of openings</t>
  </si>
  <si>
    <t>Line 8: vc4(ha3+hb3)+V4(ho3)=H?</t>
  </si>
  <si>
    <t>Line 7: va3(ha3+hb3)-vc4(ha3+hb3)-V4(ho3)=0?</t>
  </si>
  <si>
    <t>First opening: va1 = vb1 = H/(ha1+hb1) =</t>
  </si>
  <si>
    <t>Second opening: va2 = vb2 = H/(ha2+hb2) =</t>
  </si>
  <si>
    <t>Third opening: va3 = vb3 = H/(ha3+hb3) =</t>
  </si>
  <si>
    <t>Line 3: vc2(ha1+hb1)+V2(ho1)-va1(ha1+hb1)=0?</t>
  </si>
  <si>
    <t>Line 4: va2(ha2+hb2)-V2(ho2)-vc2(ha2+hb2)=0?</t>
  </si>
  <si>
    <t>Line 6: va3(ha3+hb3)-V3(ho3)-vc3(ha3+hb3)=0?</t>
  </si>
  <si>
    <t>Design Summary</t>
  </si>
  <si>
    <t>4-Term Deflection</t>
  </si>
  <si>
    <t>3-Term Deflection</t>
  </si>
  <si>
    <t>4-Term Story Drift %</t>
  </si>
  <si>
    <t>3-Term Story Drift %</t>
  </si>
  <si>
    <t>APA Disclaimer</t>
  </si>
  <si>
    <t>R2-F2 =</t>
  </si>
  <si>
    <t>vc2 = (R2-F2)/L2 =</t>
  </si>
  <si>
    <t>Line 3: vc2(ha1+hb1)+V2(ho1)=H?</t>
  </si>
  <si>
    <t>Sheathing</t>
  </si>
  <si>
    <t>Wood End Post Values:</t>
  </si>
  <si>
    <t>OSB</t>
  </si>
  <si>
    <t>Gt</t>
  </si>
  <si>
    <t>Ga</t>
  </si>
  <si>
    <t>Spacing</t>
  </si>
  <si>
    <t>Nail Penny</t>
  </si>
  <si>
    <t>Plywood</t>
  </si>
  <si>
    <t>Sheathing Material</t>
  </si>
  <si>
    <t>Performance Category</t>
  </si>
  <si>
    <t>Column2</t>
  </si>
  <si>
    <t>See Page 2</t>
  </si>
  <si>
    <t>See Page 3</t>
  </si>
  <si>
    <t>Check Summary of Shear Values for One Opening</t>
  </si>
  <si>
    <t>APA FTAO Calculator Limitations</t>
  </si>
  <si>
    <t xml:space="preserve">Comment: The 3-term equation is calibrated to be approximately equal to 4-term equation at 1.4*ASD capacity.  </t>
  </si>
  <si>
    <t>8d common</t>
  </si>
  <si>
    <t>10d common</t>
  </si>
  <si>
    <t xml:space="preserve">Req. Sheathing Capacity </t>
  </si>
  <si>
    <t>Gt value</t>
  </si>
  <si>
    <t>Sheathing and Nailing</t>
  </si>
  <si>
    <t>Ga value</t>
  </si>
  <si>
    <t>N/A</t>
  </si>
  <si>
    <t>Check V1*L1+V2*L2=V?</t>
  </si>
  <si>
    <t>V2 = (V/L)(T2+L2)/L2 =</t>
  </si>
  <si>
    <t>V3 = (V/L)(T4+L3)/L3 =</t>
  </si>
  <si>
    <t>Check V1*L1+V2*L2+V3*L3=V?</t>
  </si>
  <si>
    <t>R3-F4 =</t>
  </si>
  <si>
    <t>vc3 = (R3-F4)/L3 =</t>
  </si>
  <si>
    <t>Stud Size</t>
  </si>
  <si>
    <t>2x4</t>
  </si>
  <si>
    <t>3x4</t>
  </si>
  <si>
    <t>2x6</t>
  </si>
  <si>
    <t>Area</t>
  </si>
  <si>
    <t>Dimensions:</t>
  </si>
  <si>
    <t>2x3</t>
  </si>
  <si>
    <t>2x5</t>
  </si>
  <si>
    <t>3x6</t>
  </si>
  <si>
    <t>Nominal Stud Size</t>
  </si>
  <si>
    <t xml:space="preserve">A Override: </t>
  </si>
  <si>
    <t>Species:</t>
  </si>
  <si>
    <t>Stud Size:</t>
  </si>
  <si>
    <t>Qty</t>
  </si>
  <si>
    <t>Qty:</t>
  </si>
  <si>
    <t xml:space="preserve">     </t>
  </si>
  <si>
    <r>
      <t>(in.</t>
    </r>
    <r>
      <rPr>
        <vertAlign val="superscript"/>
        <sz val="11"/>
        <color theme="1"/>
        <rFont val="Calibri"/>
        <family val="2"/>
        <scheme val="minor"/>
      </rPr>
      <t>2</t>
    </r>
    <r>
      <rPr>
        <sz val="11"/>
        <color theme="1"/>
        <rFont val="Calibri"/>
        <family val="2"/>
        <scheme val="minor"/>
      </rPr>
      <t>)</t>
    </r>
  </si>
  <si>
    <t>APA Rated Sheathing</t>
  </si>
  <si>
    <t>APA Structural 1</t>
  </si>
  <si>
    <t>Grade</t>
  </si>
  <si>
    <t>OSB3/8APA Rated Sheathing</t>
  </si>
  <si>
    <t>OSB7/16APA Rated Sheathing</t>
  </si>
  <si>
    <t>OSB15/32APA Rated Sheathing</t>
  </si>
  <si>
    <t>OSB19/32APA Rated Sheathing</t>
  </si>
  <si>
    <t>OSB3/8APA Structural 1</t>
  </si>
  <si>
    <t>OSB7/16APA Structural 1</t>
  </si>
  <si>
    <t>OSB15/32APA Structural 1</t>
  </si>
  <si>
    <t>OSB19/32APA Structural 1</t>
  </si>
  <si>
    <t>3/8</t>
  </si>
  <si>
    <t>7/16</t>
  </si>
  <si>
    <t>15/32</t>
  </si>
  <si>
    <t>19/32</t>
  </si>
  <si>
    <t>OSB3/8APA Rated Sheathing8d common2</t>
  </si>
  <si>
    <t>OSB3/8APA Rated Sheathing8d common3</t>
  </si>
  <si>
    <t>OSB3/8APA Rated Sheathing8d common4</t>
  </si>
  <si>
    <t>OSB3/8APA Rated Sheathing8d common6</t>
  </si>
  <si>
    <t>OSB3/8APA Rated Sheathing10d common2</t>
  </si>
  <si>
    <t>OSB3/8APA Rated Sheathing10d common3</t>
  </si>
  <si>
    <t>OSB3/8APA Rated Sheathing10d common4</t>
  </si>
  <si>
    <t>OSB3/8APA Rated Sheathing10d common6</t>
  </si>
  <si>
    <t>OSB7/16APA Rated Sheathing8d common2</t>
  </si>
  <si>
    <t>OSB7/16APA Rated Sheathing8d common3</t>
  </si>
  <si>
    <t>OSB7/16APA Rated Sheathing8d common4</t>
  </si>
  <si>
    <t>OSB7/16APA Rated Sheathing8d common6</t>
  </si>
  <si>
    <t>OSB7/16APA Rated Sheathing10d common2</t>
  </si>
  <si>
    <t>OSB7/16APA Rated Sheathing10d common3</t>
  </si>
  <si>
    <t>OSB7/16APA Rated Sheathing10d common4</t>
  </si>
  <si>
    <t>OSB7/16APA Rated Sheathing10d common6</t>
  </si>
  <si>
    <t>OSB15/32APA Rated Sheathing8d common2</t>
  </si>
  <si>
    <t>OSB15/32APA Rated Sheathing8d common3</t>
  </si>
  <si>
    <t>OSB15/32APA Rated Sheathing8d common4</t>
  </si>
  <si>
    <t>OSB15/32APA Rated Sheathing8d common6</t>
  </si>
  <si>
    <t>OSB15/32APA Rated Sheathing10d common2</t>
  </si>
  <si>
    <t>OSB15/32APA Rated Sheathing10d common3</t>
  </si>
  <si>
    <t>OSB15/32APA Rated Sheathing10d common4</t>
  </si>
  <si>
    <t>OSB15/32APA Rated Sheathing10d common6</t>
  </si>
  <si>
    <t>OSB19/32APA Rated Sheathing8d common2</t>
  </si>
  <si>
    <t>OSB19/32APA Rated Sheathing8d common3</t>
  </si>
  <si>
    <t>OSB19/32APA Rated Sheathing8d common4</t>
  </si>
  <si>
    <t>OSB19/32APA Rated Sheathing8d common6</t>
  </si>
  <si>
    <t>OSB19/32APA Rated Sheathing10d common2</t>
  </si>
  <si>
    <t>OSB19/32APA Rated Sheathing10d common3</t>
  </si>
  <si>
    <t>OSB19/32APA Rated Sheathing10d common4</t>
  </si>
  <si>
    <t>OSB19/32APA Rated Sheathing10d common6</t>
  </si>
  <si>
    <t>OSB3/8APA Structural 18d common2</t>
  </si>
  <si>
    <t>OSB3/8APA Structural 18d common3</t>
  </si>
  <si>
    <t>OSB3/8APA Structural 18d common4</t>
  </si>
  <si>
    <t>OSB3/8APA Structural 18d common6</t>
  </si>
  <si>
    <t>OSB3/8APA Structural 110d common2</t>
  </si>
  <si>
    <t>OSB3/8APA Structural 110d common3</t>
  </si>
  <si>
    <t>OSB3/8APA Structural 110d common4</t>
  </si>
  <si>
    <t>OSB3/8APA Structural 110d common6</t>
  </si>
  <si>
    <t>OSB7/16APA Structural 18d common2</t>
  </si>
  <si>
    <t>OSB7/16APA Structural 18d common3</t>
  </si>
  <si>
    <t>OSB7/16APA Structural 18d common4</t>
  </si>
  <si>
    <t>OSB7/16APA Structural 18d common6</t>
  </si>
  <si>
    <t>OSB7/16APA Structural 110d common2</t>
  </si>
  <si>
    <t>OSB7/16APA Structural 110d common3</t>
  </si>
  <si>
    <t>OSB7/16APA Structural 110d common4</t>
  </si>
  <si>
    <t>OSB7/16APA Structural 110d common6</t>
  </si>
  <si>
    <t>OSB15/32APA Structural 18d common2</t>
  </si>
  <si>
    <t>OSB15/32APA Structural 18d common3</t>
  </si>
  <si>
    <t>OSB15/32APA Structural 18d common4</t>
  </si>
  <si>
    <t>OSB15/32APA Structural 18d common6</t>
  </si>
  <si>
    <t>OSB15/32APA Structural 110d common2</t>
  </si>
  <si>
    <t>OSB15/32APA Structural 110d common3</t>
  </si>
  <si>
    <t>OSB15/32APA Structural 110d common4</t>
  </si>
  <si>
    <t>OSB15/32APA Structural 110d common6</t>
  </si>
  <si>
    <t>OSB19/32APA Structural 18d common2</t>
  </si>
  <si>
    <t>OSB19/32APA Structural 18d common3</t>
  </si>
  <si>
    <t>OSB19/32APA Structural 18d common4</t>
  </si>
  <si>
    <t>OSB19/32APA Structural 18d common6</t>
  </si>
  <si>
    <t>OSB19/32APA Structural 110d common2</t>
  </si>
  <si>
    <t>OSB19/32APA Structural 110d common3</t>
  </si>
  <si>
    <t>OSB19/32APA Structural 110d common4</t>
  </si>
  <si>
    <t>OSB19/32APA Structural 110d common6</t>
  </si>
  <si>
    <t>Plywood3/8APA Structural 1</t>
  </si>
  <si>
    <t>Plywood3/8APA Rated Sheathing</t>
  </si>
  <si>
    <t>Plywood7/16APA Rated Sheathing</t>
  </si>
  <si>
    <t>Plywood7/16APA Structural 1</t>
  </si>
  <si>
    <t>Plywood15/32APA Rated Sheathing</t>
  </si>
  <si>
    <t>Plywood15/32APA Structural 1</t>
  </si>
  <si>
    <t>Plywood19/32APA Structural 1</t>
  </si>
  <si>
    <t>Plywood19/32APA Rated Sheathing</t>
  </si>
  <si>
    <t>Plywood3/8APA Rated Sheathing8d common2</t>
  </si>
  <si>
    <t>Plywood3/8APA Rated Sheathing8d common3</t>
  </si>
  <si>
    <t>Plywood3/8APA Rated Sheathing8d common4</t>
  </si>
  <si>
    <t>Plywood3/8APA Rated Sheathing8d common6</t>
  </si>
  <si>
    <t>Plywood3/8APA Structural 18d common2</t>
  </si>
  <si>
    <t>Plywood3/8APA Structural 18d common3</t>
  </si>
  <si>
    <t>Plywood3/8APA Structural 18d common4</t>
  </si>
  <si>
    <t>Plywood3/8APA Structural 18d common6</t>
  </si>
  <si>
    <t>Plywood3/8APA Rated Sheathing10d common2</t>
  </si>
  <si>
    <t>Plywood3/8APA Rated Sheathing10d common3</t>
  </si>
  <si>
    <t>Plywood3/8APA Rated Sheathing10d common4</t>
  </si>
  <si>
    <t>Plywood3/8APA Rated Sheathing10d common6</t>
  </si>
  <si>
    <t>Plywood3/8APA Structural 110d common2</t>
  </si>
  <si>
    <t>Plywood3/8APA Structural 110d common3</t>
  </si>
  <si>
    <t>Plywood3/8APA Structural 110d common4</t>
  </si>
  <si>
    <t>Plywood3/8APA Structural 110d common6</t>
  </si>
  <si>
    <t>Plywood7/16APA Rated Sheathing8d common2</t>
  </si>
  <si>
    <t>Plywood7/16APA Rated Sheathing8d common3</t>
  </si>
  <si>
    <t>Plywood7/16APA Rated Sheathing8d common4</t>
  </si>
  <si>
    <t>Plywood7/16APA Rated Sheathing8d common6</t>
  </si>
  <si>
    <t>Plywood7/16APA Rated Sheathing10d common2</t>
  </si>
  <si>
    <t>Plywood7/16APA Rated Sheathing10d common3</t>
  </si>
  <si>
    <t>Plywood7/16APA Rated Sheathing10d common4</t>
  </si>
  <si>
    <t>Plywood7/16APA Rated Sheathing10d common6</t>
  </si>
  <si>
    <t>Plywood7/16APA Structural 18d common2</t>
  </si>
  <si>
    <t>Plywood7/16APA Structural 18d common3</t>
  </si>
  <si>
    <t>Plywood7/16APA Structural 18d common4</t>
  </si>
  <si>
    <t>Plywood7/16APA Structural 18d common6</t>
  </si>
  <si>
    <t>Plywood7/16APA Structural 110d common2</t>
  </si>
  <si>
    <t>Plywood7/16APA Structural 110d common3</t>
  </si>
  <si>
    <t>Plywood7/16APA Structural 110d common4</t>
  </si>
  <si>
    <t>Plywood7/16APA Structural 110d common6</t>
  </si>
  <si>
    <t>Plywood15/32APA Rated Sheathing8d common2</t>
  </si>
  <si>
    <t>Plywood15/32APA Rated Sheathing8d common3</t>
  </si>
  <si>
    <t>Plywood15/32APA Rated Sheathing8d common4</t>
  </si>
  <si>
    <t>Plywood15/32APA Rated Sheathing8d common6</t>
  </si>
  <si>
    <t>Plywood15/32APA Rated Sheathing10d common2</t>
  </si>
  <si>
    <t>Plywood15/32APA Rated Sheathing10d common3</t>
  </si>
  <si>
    <t>Plywood15/32APA Rated Sheathing10d common4</t>
  </si>
  <si>
    <t>Plywood15/32APA Rated Sheathing10d common6</t>
  </si>
  <si>
    <t>Plywood15/32APA Structural 18d common2</t>
  </si>
  <si>
    <t>Plywood15/32APA Structural 18d common3</t>
  </si>
  <si>
    <t>Plywood15/32APA Structural 18d common4</t>
  </si>
  <si>
    <t>Plywood15/32APA Structural 18d common6</t>
  </si>
  <si>
    <t>Plywood15/32APA Structural 110d common2</t>
  </si>
  <si>
    <t>Plywood15/32APA Structural 110d common3</t>
  </si>
  <si>
    <t>Plywood15/32APA Structural 110d common4</t>
  </si>
  <si>
    <t>Plywood15/32APA Structural 110d common6</t>
  </si>
  <si>
    <t>Plywood19/32APA Rated Sheathing8d common2</t>
  </si>
  <si>
    <t>Plywood19/32APA Rated Sheathing8d common3</t>
  </si>
  <si>
    <t>Plywood19/32APA Rated Sheathing8d common4</t>
  </si>
  <si>
    <t>Plywood19/32APA Rated Sheathing8d common6</t>
  </si>
  <si>
    <t>Plywood19/32APA Rated Sheathing10d common2</t>
  </si>
  <si>
    <t>Plywood19/32APA Rated Sheathing10d common3</t>
  </si>
  <si>
    <t>Plywood19/32APA Rated Sheathing10d common6</t>
  </si>
  <si>
    <t>Plywood19/32APA Rated Sheathing10d common4</t>
  </si>
  <si>
    <t>Plywood19/32APA Structural 18d common2</t>
  </si>
  <si>
    <t>Plywood19/32APA Structural 18d common3</t>
  </si>
  <si>
    <t>Plywood19/32APA Structural 18d common4</t>
  </si>
  <si>
    <t>Plywood19/32APA Structural 18d common6</t>
  </si>
  <si>
    <t>Plywood19/32APA Structural 110d common2</t>
  </si>
  <si>
    <t>Plywood19/32APA Structural 110d common3</t>
  </si>
  <si>
    <t>Plywood19/32APA Structural 110d common4</t>
  </si>
  <si>
    <t>Plywood19/32APA Structural 110d common6</t>
  </si>
  <si>
    <t>Gt Override</t>
  </si>
  <si>
    <t>Ga Overide</t>
  </si>
  <si>
    <t>3. Although different height openings are allowed, this calculator assumes that all window opening heights are equal.  Thus users should utilize the wall dimensions at the largest opening when inputting ha, ho and hb.</t>
  </si>
  <si>
    <t>1. This calculator is limited to three shear wall options: shear wall with one opening, shear wall with two openings, and shear wall with three openings.</t>
  </si>
  <si>
    <r>
      <t xml:space="preserve">2. This calculator is limited to wall systems utilizing wood structural panel wall sheathing, as defined in Section 2.2 of the </t>
    </r>
    <r>
      <rPr>
        <i/>
        <sz val="11"/>
        <color theme="1"/>
        <rFont val="Calibri"/>
        <family val="2"/>
        <scheme val="minor"/>
      </rPr>
      <t>2015 Special Design Provisions for Wind and Seismic</t>
    </r>
    <r>
      <rPr>
        <sz val="11"/>
        <color theme="1"/>
        <rFont val="Calibri"/>
        <family val="2"/>
        <scheme val="minor"/>
      </rPr>
      <t xml:space="preserve"> </t>
    </r>
    <r>
      <rPr>
        <i/>
        <sz val="11"/>
        <color theme="1"/>
        <rFont val="Calibri"/>
        <family val="2"/>
        <scheme val="minor"/>
      </rPr>
      <t>(SDPWS)</t>
    </r>
    <r>
      <rPr>
        <sz val="11"/>
        <color theme="1"/>
        <rFont val="Calibri"/>
        <family val="2"/>
        <scheme val="minor"/>
      </rPr>
      <t xml:space="preserve"> by the American Wood Council.</t>
    </r>
  </si>
  <si>
    <r>
      <t xml:space="preserve">4. The "Stud Size" input for this calculator is limited to the stud sizes shown in </t>
    </r>
    <r>
      <rPr>
        <i/>
        <sz val="11"/>
        <color theme="1"/>
        <rFont val="Calibri"/>
        <family val="2"/>
        <scheme val="minor"/>
      </rPr>
      <t>IBC Table 2308.5.1: Size, Height and Spacing of Wood Studs</t>
    </r>
    <r>
      <rPr>
        <sz val="11"/>
        <color theme="1"/>
        <rFont val="Calibri"/>
        <family val="2"/>
        <scheme val="minor"/>
      </rPr>
      <t>.  The quantity (Qty.) and stud size selections are used to calculate the area (A) of the end post for the shear wall.  For instances of uncommon wood stud or column dimensions utilized for shear wall end posts, an "A Override" cell is in place. Enter the area of the end post in this cell to override the value calculated by the Qty. and Stud Size selections.</t>
    </r>
  </si>
  <si>
    <r>
      <t xml:space="preserve">5. The nail type input for the calculator allows for the input of 8d common (0.131" dia. x 2-1/2") and 10d common (0.148" dia. x 3") nails only.  It is important to note that the referenced code tables allow for the use of common or galvanized box nails to attain shear wall strengths.  Testing performed by APA is documented in the </t>
    </r>
    <r>
      <rPr>
        <i/>
        <sz val="11"/>
        <color theme="1"/>
        <rFont val="Calibri"/>
        <family val="2"/>
        <scheme val="minor"/>
      </rPr>
      <t xml:space="preserve">APA Technical Topic: Shear Wall Test Results Comparing 8d Common and 8d Box Nail.  </t>
    </r>
    <r>
      <rPr>
        <sz val="11"/>
        <color theme="1"/>
        <rFont val="Calibri"/>
        <family val="2"/>
        <scheme val="minor"/>
      </rPr>
      <t>The results of these tests suggest similar shear wall performance between walls constructed with 8d common and 8d box nails.</t>
    </r>
  </si>
  <si>
    <t>6. In calculating the shear wall deflections for plywood sheathing applications, this calculator utilizes the most conservative published values for both the rigidity of wall sheathing panel through the thickness (Gt) and the apparent shear wall shear stiffness from nail slip and panel deformation (Ga) for plywood sheathing.  If needed, adjustments to the Gt and Ga values may be made based on a specific plywood construction (i.e., 5-ply,) provided panels are available.</t>
  </si>
  <si>
    <t>Force Transfer Around Openings (FTAO) Calculator Instructions</t>
  </si>
  <si>
    <t>HD Deflection:</t>
  </si>
  <si>
    <t>Fastener</t>
  </si>
  <si>
    <t>4. Corner forces</t>
  </si>
  <si>
    <t>8. Difference corner force + resistance</t>
  </si>
  <si>
    <r>
      <t>1. Hold-down forces: H = Vh</t>
    </r>
    <r>
      <rPr>
        <b/>
        <vertAlign val="subscript"/>
        <sz val="11"/>
        <color theme="1"/>
        <rFont val="Calibri"/>
        <family val="2"/>
        <scheme val="minor"/>
      </rPr>
      <t>wall</t>
    </r>
    <r>
      <rPr>
        <b/>
        <sz val="11"/>
        <color theme="1"/>
        <rFont val="Calibri"/>
        <family val="2"/>
        <scheme val="minor"/>
      </rPr>
      <t>/L</t>
    </r>
    <r>
      <rPr>
        <b/>
        <vertAlign val="subscript"/>
        <sz val="11"/>
        <color theme="1"/>
        <rFont val="Calibri"/>
        <family val="2"/>
        <scheme val="minor"/>
      </rPr>
      <t>wall</t>
    </r>
  </si>
  <si>
    <t>APA</t>
  </si>
  <si>
    <t>Column1</t>
  </si>
  <si>
    <t>Material</t>
  </si>
  <si>
    <t>Wall Pier Aspect Ratio</t>
  </si>
  <si>
    <t>P1=ho1/L1=</t>
  </si>
  <si>
    <t>P2=ho2/L2=</t>
  </si>
  <si>
    <t>P3=ho3/L3=</t>
  </si>
  <si>
    <t>P4=ho3/L4=</t>
  </si>
  <si>
    <t>Adj. Factor</t>
  </si>
  <si>
    <t>See Page 4</t>
  </si>
  <si>
    <t>R3 = V3*L3 =</t>
  </si>
  <si>
    <t>R2 = V2*L2 =</t>
  </si>
  <si>
    <t>R1 = V1*L1 =</t>
  </si>
  <si>
    <t>R4 = V4*L4 =</t>
  </si>
  <si>
    <r>
      <t xml:space="preserve">The information contained herein is intended for use as a resource to aid in the shear wall design based on APA – The Engineered Wood Association's testing and knowledge of wood-framed shear wall system design utilizing the force transfer around openings (FTAO) methodology.  Neither APA, nor its member manufacturers, make any warranty, expressed or implied, or assume any legal liability or responsibility for the accuracy, use, application of, and/or reference to opinions, findings, conclusions, or recommendations included in this calculator.  Consult your local jurisdiction or design professional to assure compliance with code, construction, and performance requirements.  Because APA has no control over quality of workmanship or the conditions under which engineered wood products are used, it cannot accept responsibility of product performance or designs as actually constructed. </t>
    </r>
    <r>
      <rPr>
        <b/>
        <i/>
        <sz val="9"/>
        <color theme="1"/>
        <rFont val="Calibri"/>
        <family val="2"/>
        <scheme val="minor"/>
      </rPr>
      <t>©2018 APA – THE ENGINEERED WOOD ASSOCIATION · ALL RIGHTS RESERVED · ANY COPYING, MODIFICATION, DISTRIBUTION, OR OTHER USE OF THIS PUBLICATION OTHER THAN AS EXPRESSLY AUTHORIZED BY APA IS PROHIBITED BY THE U.S. COPYRIGHT LAWS.</t>
    </r>
  </si>
  <si>
    <r>
      <t xml:space="preserve">The information contained herein is intended for use as a resource to aid in the shear wall design based on APA </t>
    </r>
    <r>
      <rPr>
        <sz val="9"/>
        <color theme="1"/>
        <rFont val="Calibri"/>
        <family val="2"/>
      </rPr>
      <t>–</t>
    </r>
    <r>
      <rPr>
        <i/>
        <sz val="9"/>
        <color theme="1"/>
        <rFont val="Calibri"/>
        <family val="2"/>
        <scheme val="minor"/>
      </rPr>
      <t xml:space="preserve"> The Engineered Wood Association's testing and knowledge of wood-framed shear wall system design utilizing the force transfer around openings (FTAO) methodology.  Neither APA, nor its member manufacturers, make any warranty, expressed or implied, or assume any legal liability or responsibility for the accuracy, use, application of, and/or reference to opinions, findings, conclusions, or recommendations included in this calculator.  Consult your local jurisdiction or design professional to assure compliance with code, construction, and performance requirements.  Because APA has no control over quality of workmanship or the conditions under which engineered wood products are used, it cannot accept responsibility of product performance or designs as actually constructed. </t>
    </r>
    <r>
      <rPr>
        <b/>
        <i/>
        <sz val="9"/>
        <color theme="1"/>
        <rFont val="Calibri"/>
        <family val="2"/>
        <scheme val="minor"/>
      </rPr>
      <t>Copyright ©2018 APA – THE ENGINEERED WOOD ASSOCIATION · ALL RIGHTS RESERVED · ANY COPYING, MODIFICATION, DISTRIBUTION, OR OTHER USE OF THIS PUBLICATION OTHER THAN AS EXPRESSLY AUTHORIZED BY APA IS PROHIBITED BY THE U.S. COPYRIGHT LAWS.</t>
    </r>
  </si>
  <si>
    <t>Variables for Shear Wall Calculations</t>
  </si>
  <si>
    <t>= Applied shear as lateral force at top of wall in pounds (lb).</t>
  </si>
  <si>
    <t>= Length of individual wall pier segment as indicated by L1, L2, L3 and L4 measured in feet (ft).</t>
  </si>
  <si>
    <t>= Length for individual clear openings as indicated by Lo1, Lo2 and Lo3 measured in feet (ft).</t>
  </si>
  <si>
    <t>= Maximum clear opening height of any opening in the wall system.  Will be reported as ho1, ho2 and ho3 measured in feet (ft).</t>
  </si>
  <si>
    <r>
      <t xml:space="preserve">= Height of continuous sheathing above the opening  in correlation with </t>
    </r>
    <r>
      <rPr>
        <b/>
        <sz val="11"/>
        <color theme="1"/>
        <rFont val="Calibri"/>
        <family val="2"/>
        <scheme val="minor"/>
      </rPr>
      <t>ho1</t>
    </r>
    <r>
      <rPr>
        <sz val="11"/>
        <color theme="1"/>
        <rFont val="Calibri"/>
        <family val="2"/>
        <scheme val="minor"/>
      </rPr>
      <t xml:space="preserve"> above.  Will be reported as ha1, ha2 and ha3 measured in feet (ft).</t>
    </r>
  </si>
  <si>
    <r>
      <t xml:space="preserve">= Height of continuous sheathing below the opening in correlation with </t>
    </r>
    <r>
      <rPr>
        <b/>
        <sz val="11"/>
        <color theme="1"/>
        <rFont val="Calibri"/>
        <family val="2"/>
        <scheme val="minor"/>
      </rPr>
      <t>ho1</t>
    </r>
    <r>
      <rPr>
        <sz val="11"/>
        <color theme="1"/>
        <rFont val="Calibri"/>
        <family val="2"/>
        <scheme val="minor"/>
      </rPr>
      <t xml:space="preserve"> above.  Will be reported as hb1, hb2 and hb3 measured in feet (ft).</t>
    </r>
  </si>
  <si>
    <r>
      <t xml:space="preserve">= Total </t>
    </r>
    <r>
      <rPr>
        <b/>
        <sz val="11"/>
        <color theme="1"/>
        <rFont val="Calibri"/>
        <family val="2"/>
        <scheme val="minor"/>
      </rPr>
      <t>calculated</t>
    </r>
    <r>
      <rPr>
        <sz val="11"/>
        <color theme="1"/>
        <rFont val="Calibri"/>
        <family val="2"/>
        <scheme val="minor"/>
      </rPr>
      <t xml:space="preserve"> height of shear wall from bottom of sill plate to top of top plate measured in feet (ft).  Calculated as the summation of </t>
    </r>
    <r>
      <rPr>
        <b/>
        <sz val="11"/>
        <color theme="1"/>
        <rFont val="Calibri"/>
        <family val="2"/>
        <scheme val="minor"/>
      </rPr>
      <t>ho1</t>
    </r>
    <r>
      <rPr>
        <sz val="11"/>
        <color theme="1"/>
        <rFont val="Calibri"/>
        <family val="2"/>
        <scheme val="minor"/>
      </rPr>
      <t xml:space="preserve">, </t>
    </r>
    <r>
      <rPr>
        <b/>
        <sz val="11"/>
        <color theme="1"/>
        <rFont val="Calibri"/>
        <family val="2"/>
        <scheme val="minor"/>
      </rPr>
      <t>ha1</t>
    </r>
    <r>
      <rPr>
        <sz val="11"/>
        <color theme="1"/>
        <rFont val="Calibri"/>
        <family val="2"/>
        <scheme val="minor"/>
      </rPr>
      <t xml:space="preserve">, and </t>
    </r>
    <r>
      <rPr>
        <b/>
        <sz val="11"/>
        <color theme="1"/>
        <rFont val="Calibri"/>
        <family val="2"/>
        <scheme val="minor"/>
      </rPr>
      <t>hb1</t>
    </r>
    <r>
      <rPr>
        <sz val="11"/>
        <color theme="1"/>
        <rFont val="Calibri"/>
        <family val="2"/>
        <scheme val="minor"/>
      </rPr>
      <t xml:space="preserve">. </t>
    </r>
  </si>
  <si>
    <r>
      <t xml:space="preserve">= Total </t>
    </r>
    <r>
      <rPr>
        <b/>
        <sz val="11"/>
        <color theme="1"/>
        <rFont val="Calibri"/>
        <family val="2"/>
        <scheme val="minor"/>
      </rPr>
      <t>calculated</t>
    </r>
    <r>
      <rPr>
        <sz val="11"/>
        <color theme="1"/>
        <rFont val="Calibri"/>
        <family val="2"/>
        <scheme val="minor"/>
      </rPr>
      <t xml:space="preserve"> length of shear wall measured in feet (ft).  Calculated as the summation of </t>
    </r>
    <r>
      <rPr>
        <b/>
        <sz val="11"/>
        <color theme="1"/>
        <rFont val="Calibri"/>
        <family val="2"/>
        <scheme val="minor"/>
      </rPr>
      <t xml:space="preserve">L(i) </t>
    </r>
    <r>
      <rPr>
        <sz val="11"/>
        <color theme="1"/>
        <rFont val="Calibri"/>
        <family val="2"/>
        <scheme val="minor"/>
      </rPr>
      <t xml:space="preserve">and </t>
    </r>
    <r>
      <rPr>
        <b/>
        <sz val="11"/>
        <color theme="1"/>
        <rFont val="Calibri"/>
        <family val="2"/>
        <scheme val="minor"/>
      </rPr>
      <t>Lo(i)</t>
    </r>
    <r>
      <rPr>
        <sz val="11"/>
        <color theme="1"/>
        <rFont val="Calibri"/>
        <family val="2"/>
        <scheme val="minor"/>
      </rPr>
      <t>.</t>
    </r>
  </si>
  <si>
    <t>L(i)</t>
  </si>
  <si>
    <t>Lo(i)</t>
  </si>
  <si>
    <r>
      <t>h</t>
    </r>
    <r>
      <rPr>
        <b/>
        <vertAlign val="subscript"/>
        <sz val="11"/>
        <color theme="1"/>
        <rFont val="Calibri"/>
        <family val="2"/>
        <scheme val="minor"/>
      </rPr>
      <t>wall</t>
    </r>
  </si>
  <si>
    <r>
      <t>L</t>
    </r>
    <r>
      <rPr>
        <b/>
        <vertAlign val="subscript"/>
        <sz val="11"/>
        <color theme="1"/>
        <rFont val="Calibri"/>
        <family val="2"/>
        <scheme val="minor"/>
      </rPr>
      <t>wall</t>
    </r>
  </si>
  <si>
    <t xml:space="preserve">= Performance category for applied wall sheathing.  Select 3/8, 7/16, 15/32 or 19/32 category.  Performance category drop down menu selection is dependant on           </t>
  </si>
  <si>
    <r>
      <t xml:space="preserve">    common availability for specified </t>
    </r>
    <r>
      <rPr>
        <b/>
        <sz val="11"/>
        <color theme="1"/>
        <rFont val="Calibri"/>
        <family val="2"/>
        <scheme val="minor"/>
      </rPr>
      <t>Sheathing Material</t>
    </r>
    <r>
      <rPr>
        <sz val="11"/>
        <color theme="1"/>
        <rFont val="Calibri"/>
        <family val="2"/>
        <scheme val="minor"/>
      </rPr>
      <t>.</t>
    </r>
  </si>
  <si>
    <r>
      <t xml:space="preserve">= Designation of </t>
    </r>
    <r>
      <rPr>
        <b/>
        <sz val="11"/>
        <color theme="1"/>
        <rFont val="Calibri"/>
        <family val="2"/>
        <scheme val="minor"/>
      </rPr>
      <t>Sheathing Material</t>
    </r>
    <r>
      <rPr>
        <sz val="11"/>
        <color theme="1"/>
        <rFont val="Calibri"/>
        <family val="2"/>
        <scheme val="minor"/>
      </rPr>
      <t xml:space="preserve"> strength grade.  Select either APA Rated Sheathing or APA Structural 1.</t>
    </r>
  </si>
  <si>
    <t>Wood Species</t>
  </si>
  <si>
    <t>E</t>
  </si>
  <si>
    <t>= Type in name of wood species of materials used at the shearwall end posts, i.e. Hem Fir #2.  This cell is not used in the calculations.</t>
  </si>
  <si>
    <t xml:space="preserve">    2015 Design Values For Wood Construction - NDS Supplement Table 4A, and is given in pounds per square inch (psi) .</t>
  </si>
  <si>
    <r>
      <t xml:space="preserve">= Modulus of elasticity for the wood species used at the shearwall end posts in correlation to </t>
    </r>
    <r>
      <rPr>
        <b/>
        <sz val="11"/>
        <color theme="1"/>
        <rFont val="Calibri"/>
        <family val="2"/>
        <scheme val="minor"/>
      </rPr>
      <t>Wood Species</t>
    </r>
    <r>
      <rPr>
        <sz val="11"/>
        <color theme="1"/>
        <rFont val="Calibri"/>
        <family val="2"/>
        <scheme val="minor"/>
      </rPr>
      <t xml:space="preserve"> name above.  This value is as referenced in</t>
    </r>
    <r>
      <rPr>
        <i/>
        <sz val="11"/>
        <color theme="1"/>
        <rFont val="Calibri"/>
        <family val="2"/>
        <scheme val="minor"/>
      </rPr>
      <t xml:space="preserve"> </t>
    </r>
    <r>
      <rPr>
        <sz val="11"/>
        <color theme="1"/>
        <rFont val="Calibri"/>
        <family val="2"/>
        <scheme val="minor"/>
      </rPr>
      <t>the</t>
    </r>
  </si>
  <si>
    <t>Wood End Post Values</t>
  </si>
  <si>
    <r>
      <t xml:space="preserve">= </t>
    </r>
    <r>
      <rPr>
        <b/>
        <sz val="11"/>
        <color theme="1"/>
        <rFont val="Calibri"/>
        <family val="2"/>
        <scheme val="minor"/>
      </rPr>
      <t>Referenced</t>
    </r>
    <r>
      <rPr>
        <sz val="11"/>
        <color theme="1"/>
        <rFont val="Calibri"/>
        <family val="2"/>
        <scheme val="minor"/>
      </rPr>
      <t xml:space="preserve"> rigidity of wall sheathing panel through the thickness as referenced in </t>
    </r>
    <r>
      <rPr>
        <i/>
        <sz val="11"/>
        <color theme="1"/>
        <rFont val="Calibri"/>
        <family val="2"/>
        <scheme val="minor"/>
      </rPr>
      <t>2015 International Building Code Table 2305.2(2)</t>
    </r>
    <r>
      <rPr>
        <sz val="11"/>
        <color theme="1"/>
        <rFont val="Calibri"/>
        <family val="2"/>
        <scheme val="minor"/>
      </rPr>
      <t xml:space="preserve">, given in pounds per inch </t>
    </r>
  </si>
  <si>
    <r>
      <t xml:space="preserve">= </t>
    </r>
    <r>
      <rPr>
        <b/>
        <sz val="11"/>
        <color theme="1"/>
        <rFont val="Calibri"/>
        <family val="2"/>
        <scheme val="minor"/>
      </rPr>
      <t>Referenced a</t>
    </r>
    <r>
      <rPr>
        <sz val="11"/>
        <color theme="1"/>
        <rFont val="Calibri"/>
        <family val="2"/>
        <scheme val="minor"/>
      </rPr>
      <t xml:space="preserve">pparent shear wall shear stiffness from nail slip and panel deformation as referenced in </t>
    </r>
    <r>
      <rPr>
        <i/>
        <sz val="11"/>
        <color theme="1"/>
        <rFont val="Calibri"/>
        <family val="2"/>
        <scheme val="minor"/>
      </rPr>
      <t>2015 SDPWS Tables 4.3A, 4.3B, 4.3C and 4.3D, Column A</t>
    </r>
    <r>
      <rPr>
        <sz val="11"/>
        <color theme="1"/>
        <rFont val="Calibri"/>
        <family val="2"/>
        <scheme val="minor"/>
      </rPr>
      <t xml:space="preserve">, </t>
    </r>
  </si>
  <si>
    <r>
      <t xml:space="preserve">    (lb/in).  Value is based on selections made for </t>
    </r>
    <r>
      <rPr>
        <b/>
        <sz val="11"/>
        <color theme="1"/>
        <rFont val="Calibri"/>
        <family val="2"/>
        <scheme val="minor"/>
      </rPr>
      <t>Sheathing Material</t>
    </r>
    <r>
      <rPr>
        <sz val="11"/>
        <color theme="1"/>
        <rFont val="Calibri"/>
        <family val="2"/>
        <scheme val="minor"/>
      </rPr>
      <t xml:space="preserve">, </t>
    </r>
    <r>
      <rPr>
        <b/>
        <sz val="11"/>
        <color theme="1"/>
        <rFont val="Calibri"/>
        <family val="2"/>
        <scheme val="minor"/>
      </rPr>
      <t>Performance Category</t>
    </r>
    <r>
      <rPr>
        <sz val="11"/>
        <color theme="1"/>
        <rFont val="Calibri"/>
        <family val="2"/>
        <scheme val="minor"/>
      </rPr>
      <t xml:space="preserve"> and </t>
    </r>
    <r>
      <rPr>
        <b/>
        <sz val="11"/>
        <color theme="1"/>
        <rFont val="Calibri"/>
        <family val="2"/>
        <scheme val="minor"/>
      </rPr>
      <t>Grade</t>
    </r>
    <r>
      <rPr>
        <sz val="11"/>
        <color theme="1"/>
        <rFont val="Calibri"/>
        <family val="2"/>
        <scheme val="minor"/>
      </rPr>
      <t>.</t>
    </r>
  </si>
  <si>
    <t>Ga Override</t>
  </si>
  <si>
    <r>
      <t xml:space="preserve">    given in kips per in (kips/in).  Value is based on selections made for </t>
    </r>
    <r>
      <rPr>
        <b/>
        <sz val="11"/>
        <color theme="1"/>
        <rFont val="Calibri"/>
        <family val="2"/>
        <scheme val="minor"/>
      </rPr>
      <t>Sheathing Material</t>
    </r>
    <r>
      <rPr>
        <sz val="11"/>
        <color theme="1"/>
        <rFont val="Calibri"/>
        <family val="2"/>
        <scheme val="minor"/>
      </rPr>
      <t xml:space="preserve">, </t>
    </r>
    <r>
      <rPr>
        <b/>
        <sz val="11"/>
        <color theme="1"/>
        <rFont val="Calibri"/>
        <family val="2"/>
        <scheme val="minor"/>
      </rPr>
      <t>Performance Category</t>
    </r>
    <r>
      <rPr>
        <sz val="11"/>
        <color theme="1"/>
        <rFont val="Calibri"/>
        <family val="2"/>
        <scheme val="minor"/>
      </rPr>
      <t xml:space="preserve">, </t>
    </r>
    <r>
      <rPr>
        <b/>
        <sz val="11"/>
        <color theme="1"/>
        <rFont val="Calibri"/>
        <family val="2"/>
        <scheme val="minor"/>
      </rPr>
      <t>Grade</t>
    </r>
    <r>
      <rPr>
        <sz val="11"/>
        <color theme="1"/>
        <rFont val="Calibri"/>
        <family val="2"/>
        <scheme val="minor"/>
      </rPr>
      <t xml:space="preserve">, </t>
    </r>
    <r>
      <rPr>
        <b/>
        <sz val="11"/>
        <color theme="1"/>
        <rFont val="Calibri"/>
        <family val="2"/>
        <scheme val="minor"/>
      </rPr>
      <t>Nail type</t>
    </r>
    <r>
      <rPr>
        <sz val="11"/>
        <color theme="1"/>
        <rFont val="Calibri"/>
        <family val="2"/>
        <scheme val="minor"/>
      </rPr>
      <t xml:space="preserve"> and </t>
    </r>
    <r>
      <rPr>
        <b/>
        <sz val="11"/>
        <color theme="1"/>
        <rFont val="Calibri"/>
        <family val="2"/>
        <scheme val="minor"/>
      </rPr>
      <t>Nail Spacing</t>
    </r>
    <r>
      <rPr>
        <sz val="11"/>
        <color theme="1"/>
        <rFont val="Calibri"/>
        <family val="2"/>
        <scheme val="minor"/>
      </rPr>
      <t>.</t>
    </r>
  </si>
  <si>
    <r>
      <t xml:space="preserve">= Allows the user to perform an </t>
    </r>
    <r>
      <rPr>
        <b/>
        <sz val="11"/>
        <color theme="1"/>
        <rFont val="Calibri"/>
        <family val="2"/>
        <scheme val="minor"/>
      </rPr>
      <t>Input Override</t>
    </r>
    <r>
      <rPr>
        <sz val="11"/>
        <color theme="1"/>
        <rFont val="Calibri"/>
        <family val="2"/>
        <scheme val="minor"/>
      </rPr>
      <t xml:space="preserve"> for the </t>
    </r>
    <r>
      <rPr>
        <b/>
        <sz val="11"/>
        <color theme="1"/>
        <rFont val="Calibri"/>
        <family val="2"/>
        <scheme val="minor"/>
      </rPr>
      <t>Gt</t>
    </r>
    <r>
      <rPr>
        <sz val="11"/>
        <color theme="1"/>
        <rFont val="Calibri"/>
        <family val="2"/>
        <scheme val="minor"/>
      </rPr>
      <t xml:space="preserve"> value of sheathing materials that are not included in the drop-down menus of this spreadsheet.</t>
    </r>
  </si>
  <si>
    <r>
      <t xml:space="preserve">= Allows the user to perform an </t>
    </r>
    <r>
      <rPr>
        <b/>
        <sz val="11"/>
        <color theme="1"/>
        <rFont val="Calibri"/>
        <family val="2"/>
        <scheme val="minor"/>
      </rPr>
      <t>Input Override</t>
    </r>
    <r>
      <rPr>
        <sz val="11"/>
        <color theme="1"/>
        <rFont val="Calibri"/>
        <family val="2"/>
        <scheme val="minor"/>
      </rPr>
      <t xml:space="preserve"> for the </t>
    </r>
    <r>
      <rPr>
        <b/>
        <sz val="11"/>
        <color theme="1"/>
        <rFont val="Calibri"/>
        <family val="2"/>
        <scheme val="minor"/>
      </rPr>
      <t>Ga</t>
    </r>
    <r>
      <rPr>
        <sz val="11"/>
        <color theme="1"/>
        <rFont val="Calibri"/>
        <family val="2"/>
        <scheme val="minor"/>
      </rPr>
      <t xml:space="preserve"> value of sheathing materials that are not included in the drop-down menus of this spreadsheet.</t>
    </r>
  </si>
  <si>
    <r>
      <t xml:space="preserve">= Classification of sheathing material to be used.  Select either </t>
    </r>
    <r>
      <rPr>
        <b/>
        <sz val="11"/>
        <color theme="1"/>
        <rFont val="Calibri"/>
        <family val="2"/>
        <scheme val="minor"/>
      </rPr>
      <t>OSB</t>
    </r>
    <r>
      <rPr>
        <sz val="11"/>
        <color theme="1"/>
        <rFont val="Calibri"/>
        <family val="2"/>
        <scheme val="minor"/>
      </rPr>
      <t xml:space="preserve"> (Oriented Strand Board) or </t>
    </r>
    <r>
      <rPr>
        <b/>
        <sz val="11"/>
        <color theme="1"/>
        <rFont val="Calibri"/>
        <family val="2"/>
        <scheme val="minor"/>
      </rPr>
      <t>Plywood</t>
    </r>
    <r>
      <rPr>
        <sz val="11"/>
        <color theme="1"/>
        <rFont val="Calibri"/>
        <family val="2"/>
        <scheme val="minor"/>
      </rPr>
      <t>.</t>
    </r>
  </si>
  <si>
    <t>Nail Type:</t>
  </si>
  <si>
    <t>Nail Type</t>
  </si>
  <si>
    <t>Nail Spacing</t>
  </si>
  <si>
    <r>
      <t xml:space="preserve">= Select either </t>
    </r>
    <r>
      <rPr>
        <b/>
        <sz val="11"/>
        <color theme="1"/>
        <rFont val="Calibri"/>
        <family val="2"/>
        <scheme val="minor"/>
      </rPr>
      <t xml:space="preserve">8d common </t>
    </r>
    <r>
      <rPr>
        <sz val="11"/>
        <color theme="1"/>
        <rFont val="Calibri"/>
        <family val="2"/>
        <scheme val="minor"/>
      </rPr>
      <t xml:space="preserve"> or </t>
    </r>
    <r>
      <rPr>
        <b/>
        <sz val="11"/>
        <color theme="1"/>
        <rFont val="Calibri"/>
        <family val="2"/>
        <scheme val="minor"/>
      </rPr>
      <t>10d common</t>
    </r>
    <r>
      <rPr>
        <sz val="11"/>
        <color theme="1"/>
        <rFont val="Calibri"/>
        <family val="2"/>
        <scheme val="minor"/>
      </rPr>
      <t xml:space="preserve"> nails in order to calculate the fastener deformation value, </t>
    </r>
    <r>
      <rPr>
        <b/>
        <sz val="11"/>
        <color theme="1"/>
        <rFont val="Calibri"/>
        <family val="2"/>
        <scheme val="minor"/>
      </rPr>
      <t>e</t>
    </r>
    <r>
      <rPr>
        <sz val="11"/>
        <color theme="1"/>
        <rFont val="Calibri"/>
        <family val="2"/>
        <scheme val="minor"/>
      </rPr>
      <t>.</t>
    </r>
  </si>
  <si>
    <t>= Select the specified nail spacing between 2 and 6 inches to be used at edges of wall sheathing panels.</t>
  </si>
  <si>
    <t>A</t>
  </si>
  <si>
    <t>= Specify number of structural members used at the shearwall end post.</t>
  </si>
  <si>
    <t>= Select the size of studs used as the structural members for the shearwall end post.</t>
  </si>
  <si>
    <t>A Override</t>
  </si>
  <si>
    <t>HD Capacity</t>
  </si>
  <si>
    <t>HD Deflection</t>
  </si>
  <si>
    <t>= Hold-down capacity value given in pounds (lb) as published by the hold-down manufacturer.</t>
  </si>
  <si>
    <t>= Deflection of hold-down under load from maximum HD capacity given in inches (in) as published by the hold-down manufacturer.</t>
  </si>
  <si>
    <r>
      <t xml:space="preserve">= Allows the user to perform an </t>
    </r>
    <r>
      <rPr>
        <b/>
        <sz val="11"/>
        <color theme="1"/>
        <rFont val="Calibri"/>
        <family val="2"/>
        <scheme val="minor"/>
      </rPr>
      <t>Input Override</t>
    </r>
    <r>
      <rPr>
        <sz val="11"/>
        <color theme="1"/>
        <rFont val="Calibri"/>
        <family val="2"/>
        <scheme val="minor"/>
      </rPr>
      <t xml:space="preserve"> for the cross-sectional area of the shearwall end post.  This override should be utilized for stud or column end </t>
    </r>
  </si>
  <si>
    <r>
      <t xml:space="preserve">= </t>
    </r>
    <r>
      <rPr>
        <b/>
        <sz val="11"/>
        <color theme="1"/>
        <rFont val="Calibri"/>
        <family val="2"/>
        <scheme val="minor"/>
      </rPr>
      <t xml:space="preserve">Calculated </t>
    </r>
    <r>
      <rPr>
        <sz val="11"/>
        <color theme="1"/>
        <rFont val="Calibri"/>
        <family val="2"/>
        <scheme val="minor"/>
      </rPr>
      <t>cross-sectional area of shearwall end post given in square inches (in</t>
    </r>
    <r>
      <rPr>
        <vertAlign val="superscript"/>
        <sz val="11"/>
        <color theme="1"/>
        <rFont val="Calibri"/>
        <family val="2"/>
        <scheme val="minor"/>
      </rPr>
      <t>2</t>
    </r>
    <r>
      <rPr>
        <sz val="11"/>
        <color theme="1"/>
        <rFont val="Calibri"/>
        <family val="2"/>
        <scheme val="minor"/>
      </rPr>
      <t xml:space="preserve">). Calculated based on </t>
    </r>
    <r>
      <rPr>
        <b/>
        <sz val="11"/>
        <color theme="1"/>
        <rFont val="Calibri"/>
        <family val="2"/>
        <scheme val="minor"/>
      </rPr>
      <t xml:space="preserve">Qty </t>
    </r>
    <r>
      <rPr>
        <sz val="11"/>
        <color theme="1"/>
        <rFont val="Calibri"/>
        <family val="2"/>
        <scheme val="minor"/>
      </rPr>
      <t xml:space="preserve">and </t>
    </r>
    <r>
      <rPr>
        <b/>
        <sz val="11"/>
        <color theme="1"/>
        <rFont val="Calibri"/>
        <family val="2"/>
        <scheme val="minor"/>
      </rPr>
      <t xml:space="preserve">Stud Size </t>
    </r>
    <r>
      <rPr>
        <sz val="11"/>
        <color theme="1"/>
        <rFont val="Calibri"/>
        <family val="2"/>
        <scheme val="minor"/>
      </rPr>
      <t>selections.</t>
    </r>
  </si>
  <si>
    <r>
      <t xml:space="preserve">    posts materials that are not included in the drop-down menus of this spreadsheet.  Inputs should be entered in square inches (in</t>
    </r>
    <r>
      <rPr>
        <vertAlign val="superscript"/>
        <sz val="11"/>
        <color theme="1"/>
        <rFont val="Calibri"/>
        <family val="2"/>
        <scheme val="minor"/>
      </rPr>
      <t>2</t>
    </r>
    <r>
      <rPr>
        <sz val="11"/>
        <color theme="1"/>
        <rFont val="Calibri"/>
        <family val="2"/>
        <scheme val="minor"/>
      </rPr>
      <t xml:space="preserve">). </t>
    </r>
  </si>
  <si>
    <t>Variables for Shear Wall Deflection Calculations</t>
  </si>
  <si>
    <t>Req. Shear Wall Anchorage Force</t>
  </si>
  <si>
    <t>Req. HD Force (H)</t>
  </si>
  <si>
    <r>
      <t>Req. Shear Wall Anchorage Force (v</t>
    </r>
    <r>
      <rPr>
        <b/>
        <vertAlign val="subscript"/>
        <sz val="11"/>
        <color theme="1"/>
        <rFont val="Calibri"/>
        <family val="2"/>
        <scheme val="minor"/>
      </rPr>
      <t>max</t>
    </r>
    <r>
      <rPr>
        <b/>
        <sz val="11"/>
        <color theme="1"/>
        <rFont val="Calibri"/>
        <family val="2"/>
        <scheme val="minor"/>
      </rPr>
      <t>)</t>
    </r>
  </si>
  <si>
    <t>Shear Wall Calculation Variables</t>
  </si>
  <si>
    <t>Shear Wall Deflection Calculation Variables</t>
  </si>
  <si>
    <t xml:space="preserve">The APA Force Transfer Around Openings (FTAO) Calculator is divided into three worksheets: shear wall with one opening, shear wall with two openings, and shear wall with three openings.  Each calculation tab will produce the maximum hold-down force for uplift resistance, the required horizontal strap force for the tension straps above and below openings, the maximum shear force to determine sheathing attachment, the required shear wall anchorage force to determine base plate connection, and the maximum deflection of the wall system.  </t>
  </si>
  <si>
    <r>
      <t xml:space="preserve">To use the calculator, </t>
    </r>
    <r>
      <rPr>
        <u/>
        <sz val="11"/>
        <color theme="1"/>
        <rFont val="Calibri"/>
        <family val="2"/>
        <scheme val="minor"/>
      </rPr>
      <t xml:space="preserve">input the required information into the </t>
    </r>
    <r>
      <rPr>
        <b/>
        <u/>
        <sz val="11"/>
        <color theme="9"/>
        <rFont val="Calibri"/>
        <family val="2"/>
        <scheme val="minor"/>
      </rPr>
      <t>ORANGE</t>
    </r>
    <r>
      <rPr>
        <u/>
        <sz val="11"/>
        <color theme="1"/>
        <rFont val="Calibri"/>
        <family val="2"/>
        <scheme val="minor"/>
      </rPr>
      <t xml:space="preserve"> input cells</t>
    </r>
    <r>
      <rPr>
        <sz val="11"/>
        <color theme="1"/>
        <rFont val="Calibri"/>
        <family val="2"/>
        <scheme val="minor"/>
      </rPr>
      <t xml:space="preserve">; definitions for the required cell inputs can be found below. Move quickly between input cells by using the </t>
    </r>
    <r>
      <rPr>
        <b/>
        <sz val="11"/>
        <color theme="1"/>
        <rFont val="Calibri"/>
        <family val="2"/>
        <scheme val="minor"/>
      </rPr>
      <t>TAB</t>
    </r>
    <r>
      <rPr>
        <sz val="11"/>
        <color theme="1"/>
        <rFont val="Calibri"/>
        <family val="2"/>
        <scheme val="minor"/>
      </rPr>
      <t xml:space="preserve"> key.</t>
    </r>
    <r>
      <rPr>
        <b/>
        <sz val="11"/>
        <color theme="1"/>
        <rFont val="Calibri"/>
        <family val="2"/>
        <scheme val="minor"/>
      </rPr>
      <t xml:space="preserve"> </t>
    </r>
    <r>
      <rPr>
        <sz val="11"/>
        <color theme="1"/>
        <rFont val="Calibri"/>
        <family val="2"/>
        <scheme val="minor"/>
      </rPr>
      <t xml:space="preserve">Certain input cells, such as the Hold-Down Capacity input in the deflection calculation, have comment dialogue to clarify the input.  </t>
    </r>
  </si>
  <si>
    <t>Adj. Factor Method =</t>
  </si>
  <si>
    <r>
      <t>2b</t>
    </r>
    <r>
      <rPr>
        <vertAlign val="subscript"/>
        <sz val="11"/>
        <color theme="1"/>
        <rFont val="Calibri"/>
        <family val="2"/>
        <scheme val="minor"/>
      </rPr>
      <t>s</t>
    </r>
    <r>
      <rPr>
        <sz val="11"/>
        <color theme="1"/>
        <rFont val="Calibri"/>
        <family val="2"/>
        <scheme val="minor"/>
      </rPr>
      <t>/h</t>
    </r>
  </si>
  <si>
    <r>
      <t>1.25-0.125h/b</t>
    </r>
    <r>
      <rPr>
        <vertAlign val="subscript"/>
        <sz val="11"/>
        <color theme="1"/>
        <rFont val="Calibri"/>
        <family val="2"/>
        <scheme val="minor"/>
      </rPr>
      <t>s</t>
    </r>
  </si>
  <si>
    <t>ARAF</t>
  </si>
  <si>
    <t>2bs/h</t>
  </si>
  <si>
    <t>Adj. Factor Method</t>
  </si>
  <si>
    <r>
      <t xml:space="preserve">= Select the desired aspect ratio adjustment factor method from either </t>
    </r>
    <r>
      <rPr>
        <b/>
        <sz val="11"/>
        <color theme="1"/>
        <rFont val="Calibri"/>
        <family val="2"/>
        <scheme val="minor"/>
      </rPr>
      <t>2b</t>
    </r>
    <r>
      <rPr>
        <b/>
        <vertAlign val="subscript"/>
        <sz val="11"/>
        <color theme="1"/>
        <rFont val="Calibri"/>
        <family val="2"/>
        <scheme val="minor"/>
      </rPr>
      <t>s</t>
    </r>
    <r>
      <rPr>
        <b/>
        <sz val="11"/>
        <color theme="1"/>
        <rFont val="Calibri"/>
        <family val="2"/>
        <scheme val="minor"/>
      </rPr>
      <t>/h</t>
    </r>
    <r>
      <rPr>
        <sz val="11"/>
        <color theme="1"/>
        <rFont val="Calibri"/>
        <family val="2"/>
        <scheme val="minor"/>
      </rPr>
      <t xml:space="preserve"> or </t>
    </r>
    <r>
      <rPr>
        <b/>
        <sz val="11"/>
        <color theme="1"/>
        <rFont val="Calibri"/>
        <family val="2"/>
        <scheme val="minor"/>
      </rPr>
      <t>1.25-0.125h/b</t>
    </r>
    <r>
      <rPr>
        <b/>
        <vertAlign val="subscript"/>
        <sz val="11"/>
        <color theme="1"/>
        <rFont val="Calibri"/>
        <family val="2"/>
        <scheme val="minor"/>
      </rPr>
      <t>s</t>
    </r>
    <r>
      <rPr>
        <sz val="11"/>
        <color theme="1"/>
        <rFont val="Calibri"/>
        <family val="2"/>
        <scheme val="minor"/>
      </rPr>
      <t>, see 2015 SDPWS sections 4.3.3.4.1 or 4.3.4.2 respectively.</t>
    </r>
  </si>
  <si>
    <t>Douglas Fir-Larch No. 2</t>
  </si>
  <si>
    <t>2018 IBC</t>
  </si>
  <si>
    <t>Design Example Published in APA Technical Note - Design for Force Transfer Around Openings (FTAO), Form No. T555A.</t>
  </si>
  <si>
    <t xml:space="preserve">7. This calculator does not incorporate pier width limitations.  Section 4.3.5.2 of the 2015 Special Design Provisions for Wind and Seismic (SDPWS) limits wall pier widths to 24 inches, but APA testing successfully utilized blocked pier widths as narrow as 18 inches as noted in APA Form T555. </t>
  </si>
  <si>
    <t>8. This calculator assumes that all input forces are nominal design values and does not apply adjustment factors for ASD or LRFD design.  For the purposes of deflection and story drift percentage calculation, ASD shear values are assumed based on seismic loading.  Entering ASD factored loads into the spreadsheet will result in ASD outputs throughout the calculations.  If the design is governed by wind loading, or LRFD factored loads are desired, the necessary adjustments will need to be made to the deflection and story drift percentage calculations.</t>
  </si>
  <si>
    <t>9. This calculator does not check that the wall assembly (sheathing grade, thickness, fastening, and hold downs) specified in the deflection portion meets the required forces calculated in the design summary.  The user inputs this data and shall check that the materials specified meet or exceed the required sheathing capacity and hold down force.</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</si>
</sst>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0.000"/>
    <numFmt numFmtId="165" formatCode="#,##0.0000"/>
    <numFmt numFmtId="166" formatCode="0.0000"/>
    <numFmt numFmtId="167" formatCode="0\ &quot;lb&quot;"/>
    <numFmt numFmtId="168" formatCode="0.00\ &quot;ft&quot;"/>
    <numFmt numFmtId="169" formatCode="0\ &quot;plf&quot;"/>
    <numFmt numFmtId="170" formatCode="0.000\ &quot;%&quot;"/>
    <numFmt numFmtId="171" formatCode="#\ ??/16"/>
    <numFmt numFmtId="172" formatCode="#,##0.0"/>
    <numFmt numFmtId="173" formatCode="0\ &quot;lbf&quot;"/>
    <numFmt numFmtId="174" formatCode="0.000\ &quot;in.&quot;"/>
  </numFmts>
  <fonts count="20" x14ac:knownFonts="1">
    <font>
      <sz val="11"/>
      <color theme="1"/>
      <name val="Calibri"/>
      <family val="2"/>
      <scheme val="minor"/>
    </font>
    <font>
      <b/>
      <sz val="11"/>
      <color theme="1"/>
      <name val="Calibri"/>
      <family val="2"/>
      <scheme val="minor"/>
    </font>
    <font>
      <vertAlign val="subscript"/>
      <sz val="11"/>
      <color theme="1"/>
      <name val="Calibri"/>
      <family val="2"/>
      <scheme val="minor"/>
    </font>
    <font>
      <sz val="18"/>
      <name val="Arial"/>
      <family val="2"/>
    </font>
    <font>
      <i/>
      <sz val="10"/>
      <name val="Arial"/>
      <family val="2"/>
    </font>
    <font>
      <b/>
      <sz val="11"/>
      <name val="Calibri"/>
      <family val="2"/>
      <scheme val="minor"/>
    </font>
    <font>
      <b/>
      <sz val="16"/>
      <name val="Arial"/>
      <family val="2"/>
    </font>
    <font>
      <b/>
      <vertAlign val="subscript"/>
      <sz val="11"/>
      <color theme="1"/>
      <name val="Calibri"/>
      <family val="2"/>
      <scheme val="minor"/>
    </font>
    <font>
      <vertAlign val="superscript"/>
      <sz val="11"/>
      <color theme="1"/>
      <name val="Calibri"/>
      <family val="2"/>
      <scheme val="minor"/>
    </font>
    <font>
      <b/>
      <sz val="16"/>
      <color theme="1"/>
      <name val="Calibri"/>
      <family val="2"/>
      <scheme val="minor"/>
    </font>
    <font>
      <sz val="9"/>
      <color indexed="81"/>
      <name val="Tahoma"/>
      <family val="2"/>
    </font>
    <font>
      <b/>
      <sz val="9"/>
      <color indexed="81"/>
      <name val="Tahoma"/>
      <family val="2"/>
    </font>
    <font>
      <sz val="9"/>
      <color theme="1"/>
      <name val="Calibri"/>
      <family val="2"/>
      <scheme val="minor"/>
    </font>
    <font>
      <b/>
      <sz val="9"/>
      <color theme="1"/>
      <name val="Calibri"/>
      <family val="2"/>
      <scheme val="minor"/>
    </font>
    <font>
      <i/>
      <sz val="11"/>
      <color theme="1"/>
      <name val="Calibri"/>
      <family val="2"/>
      <scheme val="minor"/>
    </font>
    <font>
      <i/>
      <sz val="9"/>
      <color theme="1"/>
      <name val="Calibri"/>
      <family val="2"/>
      <scheme val="minor"/>
    </font>
    <font>
      <sz val="9"/>
      <color theme="1"/>
      <name val="Calibri"/>
      <family val="2"/>
    </font>
    <font>
      <b/>
      <i/>
      <sz val="9"/>
      <color theme="1"/>
      <name val="Calibri"/>
      <family val="2"/>
      <scheme val="minor"/>
    </font>
    <font>
      <u/>
      <sz val="11"/>
      <color theme="1"/>
      <name val="Calibri"/>
      <family val="2"/>
      <scheme val="minor"/>
    </font>
    <font>
      <b/>
      <u/>
      <sz val="11"/>
      <color theme="9"/>
      <name val="Calibri"/>
      <family val="2"/>
      <scheme val="minor"/>
    </font>
  </fonts>
  <fills count="6">
    <fill>
      <patternFill patternType="none"/>
    </fill>
    <fill>
      <patternFill patternType="gray125"/>
    </fill>
    <fill>
      <patternFill patternType="solid">
        <fgColor theme="9" tint="0.59999389629810485"/>
        <bgColor indexed="64"/>
      </patternFill>
    </fill>
    <fill>
      <patternFill patternType="solid">
        <fgColor rgb="FFFFFFAF"/>
        <bgColor indexed="64"/>
      </patternFill>
    </fill>
    <fill>
      <patternFill patternType="solid">
        <fgColor theme="8" tint="0.79998168889431442"/>
        <bgColor indexed="64"/>
      </patternFill>
    </fill>
    <fill>
      <patternFill patternType="solid">
        <fgColor theme="0" tint="-4.9989318521683403E-2"/>
        <bgColor indexed="64"/>
      </patternFill>
    </fill>
  </fills>
  <borders count="67">
    <border>
      <left/>
      <right/>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9" tint="-0.249977111117893"/>
      </left>
      <right style="thin">
        <color theme="9" tint="-0.249977111117893"/>
      </right>
      <top style="thin">
        <color theme="9" tint="-0.249977111117893"/>
      </top>
      <bottom style="thin">
        <color theme="9" tint="-0.249977111117893"/>
      </bottom>
      <diagonal/>
    </border>
    <border>
      <left/>
      <right style="thin">
        <color indexed="64"/>
      </right>
      <top/>
      <bottom style="medium">
        <color indexed="64"/>
      </bottom>
      <diagonal/>
    </border>
    <border>
      <left style="thin">
        <color indexed="64"/>
      </left>
      <right/>
      <top/>
      <bottom style="medium">
        <color indexed="64"/>
      </bottom>
      <diagonal/>
    </border>
    <border>
      <left/>
      <right/>
      <top style="thin">
        <color indexed="64"/>
      </top>
      <bottom style="thin">
        <color indexed="64"/>
      </bottom>
      <diagonal/>
    </border>
    <border>
      <left style="thin">
        <color theme="9" tint="-0.249977111117893"/>
      </left>
      <right style="thin">
        <color theme="9" tint="-0.249977111117893"/>
      </right>
      <top/>
      <bottom style="thin">
        <color theme="9" tint="-0.249977111117893"/>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theme="9" tint="-0.249977111117893"/>
      </right>
      <top/>
      <bottom/>
      <diagonal/>
    </border>
    <border>
      <left style="thin">
        <color theme="9"/>
      </left>
      <right/>
      <top/>
      <bottom/>
      <diagonal/>
    </border>
    <border>
      <left style="thin">
        <color theme="9"/>
      </left>
      <right style="thin">
        <color theme="9"/>
      </right>
      <top style="thin">
        <color theme="9"/>
      </top>
      <bottom style="thin">
        <color theme="9"/>
      </bottom>
      <diagonal/>
    </border>
    <border>
      <left/>
      <right/>
      <top/>
      <bottom style="thin">
        <color theme="9"/>
      </bottom>
      <diagonal/>
    </border>
    <border>
      <left style="thin">
        <color theme="9"/>
      </left>
      <right style="thin">
        <color theme="9"/>
      </right>
      <top/>
      <bottom style="thin">
        <color theme="9"/>
      </bottom>
      <diagonal/>
    </border>
    <border>
      <left style="thin">
        <color indexed="64"/>
      </left>
      <right style="thin">
        <color indexed="64"/>
      </right>
      <top style="thin">
        <color indexed="64"/>
      </top>
      <bottom style="thin">
        <color indexed="64"/>
      </bottom>
      <diagonal/>
    </border>
    <border>
      <left style="thin">
        <color theme="9" tint="-0.249977111117893"/>
      </left>
      <right style="thin">
        <color theme="9" tint="-0.249977111117893"/>
      </right>
      <top/>
      <bottom/>
      <diagonal/>
    </border>
    <border>
      <left/>
      <right style="thin">
        <color indexed="64"/>
      </right>
      <top style="thin">
        <color indexed="64"/>
      </top>
      <bottom style="thin">
        <color indexed="64"/>
      </bottom>
      <diagonal/>
    </border>
    <border>
      <left style="thin">
        <color theme="9"/>
      </left>
      <right style="thin">
        <color theme="9"/>
      </right>
      <top style="thin">
        <color theme="9"/>
      </top>
      <bottom/>
      <diagonal/>
    </border>
    <border>
      <left style="thin">
        <color theme="9"/>
      </left>
      <right/>
      <top style="thin">
        <color theme="9"/>
      </top>
      <bottom style="thin">
        <color theme="9"/>
      </bottom>
      <diagonal/>
    </border>
    <border>
      <left/>
      <right style="thin">
        <color theme="9"/>
      </right>
      <top style="thin">
        <color theme="9"/>
      </top>
      <bottom style="thin">
        <color theme="9"/>
      </bottom>
      <diagonal/>
    </border>
    <border>
      <left style="thin">
        <color indexed="64"/>
      </left>
      <right/>
      <top style="thin">
        <color indexed="64"/>
      </top>
      <bottom style="thin">
        <color indexed="64"/>
      </bottom>
      <diagonal/>
    </border>
    <border>
      <left style="thin">
        <color theme="8"/>
      </left>
      <right style="thin">
        <color theme="8"/>
      </right>
      <top style="thin">
        <color theme="8"/>
      </top>
      <bottom style="thin">
        <color theme="8"/>
      </bottom>
      <diagonal/>
    </border>
    <border>
      <left/>
      <right/>
      <top style="medium">
        <color indexed="64"/>
      </top>
      <bottom style="thin">
        <color theme="9"/>
      </bottom>
      <diagonal/>
    </border>
    <border>
      <left/>
      <right style="thin">
        <color theme="9"/>
      </right>
      <top/>
      <bottom/>
      <diagonal/>
    </border>
    <border>
      <left/>
      <right style="thin">
        <color theme="8"/>
      </right>
      <top/>
      <bottom/>
      <diagonal/>
    </border>
    <border>
      <left style="thin">
        <color theme="8"/>
      </left>
      <right/>
      <top style="thin">
        <color theme="8"/>
      </top>
      <bottom style="thin">
        <color theme="8"/>
      </bottom>
      <diagonal/>
    </border>
    <border>
      <left/>
      <right style="thin">
        <color theme="8"/>
      </right>
      <top style="thin">
        <color theme="8"/>
      </top>
      <bottom style="thin">
        <color theme="8"/>
      </bottom>
      <diagonal/>
    </border>
    <border>
      <left style="thin">
        <color theme="9" tint="-0.249977111117893"/>
      </left>
      <right style="thin">
        <color theme="9" tint="-0.249977111117893"/>
      </right>
      <top/>
      <bottom style="thin">
        <color theme="9"/>
      </bottom>
      <diagonal/>
    </border>
    <border>
      <left/>
      <right/>
      <top/>
      <bottom style="double">
        <color indexed="64"/>
      </bottom>
      <diagonal/>
    </border>
    <border>
      <left style="medium">
        <color indexed="64"/>
      </left>
      <right style="medium">
        <color indexed="64"/>
      </right>
      <top/>
      <bottom/>
      <diagonal/>
    </border>
    <border>
      <left/>
      <right/>
      <top style="medium">
        <color indexed="64"/>
      </top>
      <bottom style="double">
        <color indexed="64"/>
      </bottom>
      <diagonal/>
    </border>
    <border>
      <left style="thin">
        <color theme="9"/>
      </left>
      <right style="thin">
        <color theme="9"/>
      </right>
      <top style="medium">
        <color indexed="64"/>
      </top>
      <bottom style="double">
        <color indexed="64"/>
      </bottom>
      <diagonal/>
    </border>
    <border>
      <left style="thin">
        <color theme="9"/>
      </left>
      <right/>
      <top style="medium">
        <color indexed="64"/>
      </top>
      <bottom/>
      <diagonal/>
    </border>
    <border>
      <left style="thin">
        <color indexed="64"/>
      </left>
      <right style="thin">
        <color indexed="64"/>
      </right>
      <top/>
      <bottom/>
      <diagonal/>
    </border>
  </borders>
  <cellStyleXfs count="1">
    <xf numFmtId="0" fontId="0" fillId="0" borderId="0"/>
  </cellStyleXfs>
  <cellXfs count="310">
    <xf numFmtId="0" fontId="0" fillId="0" borderId="0" xfId="0"/>
    <xf numFmtId="1" fontId="0" fillId="0" borderId="0" xfId="0" applyNumberFormat="1"/>
    <xf numFmtId="0" fontId="0" fillId="0" borderId="0" xfId="0" applyAlignment="1">
      <alignment horizontal="right"/>
    </xf>
    <xf numFmtId="0" fontId="0" fillId="0" borderId="0" xfId="0" applyBorder="1"/>
    <xf numFmtId="1" fontId="0" fillId="0" borderId="0" xfId="0" applyNumberFormat="1" applyBorder="1"/>
    <xf numFmtId="0" fontId="0" fillId="0" borderId="5" xfId="0" applyBorder="1"/>
    <xf numFmtId="0" fontId="1" fillId="0" borderId="0" xfId="0" applyFont="1"/>
    <xf numFmtId="164" fontId="0" fillId="0" borderId="7" xfId="0" applyNumberFormat="1" applyBorder="1" applyAlignment="1">
      <alignment horizontal="center"/>
    </xf>
    <xf numFmtId="0" fontId="0" fillId="0" borderId="8" xfId="0" applyBorder="1"/>
    <xf numFmtId="0" fontId="0" fillId="0" borderId="9" xfId="0" applyBorder="1"/>
    <xf numFmtId="0" fontId="0" fillId="0" borderId="9" xfId="0" applyBorder="1" applyAlignment="1">
      <alignment horizontal="center"/>
    </xf>
    <xf numFmtId="164" fontId="0" fillId="0" borderId="11" xfId="0" applyNumberFormat="1" applyBorder="1" applyAlignment="1">
      <alignment horizontal="center"/>
    </xf>
    <xf numFmtId="164" fontId="0" fillId="0" borderId="12" xfId="0" applyNumberFormat="1" applyBorder="1" applyAlignment="1">
      <alignment horizontal="center"/>
    </xf>
    <xf numFmtId="164" fontId="0" fillId="0" borderId="13" xfId="0" applyNumberFormat="1"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0" fillId="0" borderId="0" xfId="0" applyFill="1"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0" fillId="0" borderId="0" xfId="0" applyFill="1"/>
    <xf numFmtId="0" fontId="0" fillId="0" borderId="0" xfId="0" applyAlignment="1">
      <alignment horizontal="center"/>
    </xf>
    <xf numFmtId="1" fontId="0" fillId="0" borderId="0" xfId="0" applyNumberFormat="1" applyBorder="1" applyAlignment="1">
      <alignment horizontal="center"/>
    </xf>
    <xf numFmtId="0" fontId="0" fillId="0" borderId="0" xfId="0" applyFill="1" applyBorder="1"/>
    <xf numFmtId="164" fontId="0" fillId="0" borderId="0" xfId="0" applyNumberFormat="1" applyBorder="1" applyAlignment="1">
      <alignment horizontal="center"/>
    </xf>
    <xf numFmtId="0" fontId="0" fillId="0" borderId="0" xfId="0" applyBorder="1" applyAlignment="1">
      <alignment horizontal="center"/>
    </xf>
    <xf numFmtId="0" fontId="0" fillId="0" borderId="0" xfId="0" applyBorder="1" applyAlignment="1">
      <alignment horizontal="right"/>
    </xf>
    <xf numFmtId="0" fontId="0" fillId="0" borderId="3" xfId="0" applyFill="1" applyBorder="1" applyAlignment="1">
      <alignment horizontal="center"/>
    </xf>
    <xf numFmtId="11" fontId="0" fillId="0" borderId="3" xfId="0" applyNumberFormat="1" applyFill="1" applyBorder="1" applyAlignment="1">
      <alignment horizontal="center"/>
    </xf>
    <xf numFmtId="2" fontId="0" fillId="0" borderId="3" xfId="0" applyNumberFormat="1" applyFill="1" applyBorder="1" applyAlignment="1">
      <alignment horizontal="center"/>
    </xf>
    <xf numFmtId="3" fontId="0" fillId="0" borderId="3" xfId="0" applyNumberFormat="1" applyFill="1" applyBorder="1" applyAlignment="1">
      <alignment horizontal="center"/>
    </xf>
    <xf numFmtId="1" fontId="0" fillId="0" borderId="3" xfId="0" applyNumberFormat="1" applyFill="1" applyBorder="1" applyAlignment="1">
      <alignment horizontal="center"/>
    </xf>
    <xf numFmtId="165" fontId="0" fillId="0" borderId="3" xfId="0" applyNumberFormat="1" applyFill="1" applyBorder="1" applyAlignment="1">
      <alignment horizontal="center"/>
    </xf>
    <xf numFmtId="0" fontId="0" fillId="0" borderId="6" xfId="0" applyFill="1" applyBorder="1" applyAlignment="1">
      <alignment horizontal="center"/>
    </xf>
    <xf numFmtId="0" fontId="0" fillId="0" borderId="27" xfId="0" applyFill="1" applyBorder="1" applyAlignment="1">
      <alignment horizontal="center"/>
    </xf>
    <xf numFmtId="0" fontId="0" fillId="0" borderId="28" xfId="0" applyFill="1" applyBorder="1" applyAlignment="1">
      <alignment horizontal="center"/>
    </xf>
    <xf numFmtId="11" fontId="0" fillId="0" borderId="2" xfId="0" applyNumberFormat="1" applyFill="1" applyBorder="1" applyAlignment="1">
      <alignment horizontal="center"/>
    </xf>
    <xf numFmtId="2" fontId="0" fillId="0" borderId="2" xfId="0" applyNumberFormat="1" applyFill="1" applyBorder="1" applyAlignment="1">
      <alignment horizontal="center"/>
    </xf>
    <xf numFmtId="0" fontId="0" fillId="0" borderId="2" xfId="0" applyFill="1" applyBorder="1" applyAlignment="1">
      <alignment horizontal="center"/>
    </xf>
    <xf numFmtId="3" fontId="0" fillId="0" borderId="2" xfId="0" applyNumberFormat="1" applyFill="1" applyBorder="1" applyAlignment="1">
      <alignment horizontal="center"/>
    </xf>
    <xf numFmtId="0" fontId="0" fillId="0" borderId="0" xfId="0" applyAlignment="1">
      <alignment horizontal="left"/>
    </xf>
    <xf numFmtId="0" fontId="4" fillId="0" borderId="0" xfId="0" applyFont="1"/>
    <xf numFmtId="0" fontId="0" fillId="0" borderId="0" xfId="0" applyFill="1" applyBorder="1" applyAlignment="1">
      <alignment horizontal="left"/>
    </xf>
    <xf numFmtId="0" fontId="3" fillId="0" borderId="0" xfId="0" applyFont="1" applyAlignment="1"/>
    <xf numFmtId="0" fontId="5" fillId="0" borderId="5" xfId="0" applyFont="1" applyBorder="1" applyAlignment="1">
      <alignment horizontal="left"/>
    </xf>
    <xf numFmtId="0" fontId="1" fillId="0" borderId="5" xfId="0" applyFont="1" applyBorder="1" applyAlignment="1">
      <alignment horizontal="left"/>
    </xf>
    <xf numFmtId="0" fontId="0" fillId="0" borderId="31" xfId="0" applyBorder="1"/>
    <xf numFmtId="0" fontId="0" fillId="0" borderId="32" xfId="0" applyBorder="1"/>
    <xf numFmtId="0" fontId="0" fillId="0" borderId="34" xfId="0" applyBorder="1"/>
    <xf numFmtId="1" fontId="0" fillId="0" borderId="32" xfId="0" applyNumberFormat="1" applyBorder="1" applyAlignment="1">
      <alignment horizontal="center"/>
    </xf>
    <xf numFmtId="1" fontId="0" fillId="0" borderId="8" xfId="0" applyNumberFormat="1" applyBorder="1" applyAlignment="1">
      <alignment horizontal="center"/>
    </xf>
    <xf numFmtId="0" fontId="1" fillId="0" borderId="8" xfId="0" applyFont="1" applyBorder="1" applyAlignment="1"/>
    <xf numFmtId="0" fontId="1" fillId="0" borderId="0" xfId="0" applyFont="1" applyBorder="1" applyAlignment="1"/>
    <xf numFmtId="164" fontId="0" fillId="0" borderId="0" xfId="0" applyNumberFormat="1" applyBorder="1" applyAlignment="1">
      <alignment horizontal="right"/>
    </xf>
    <xf numFmtId="1" fontId="0" fillId="0" borderId="2" xfId="0" applyNumberFormat="1" applyFill="1" applyBorder="1" applyAlignment="1">
      <alignment horizontal="center"/>
    </xf>
    <xf numFmtId="165" fontId="0" fillId="0" borderId="2" xfId="0" applyNumberFormat="1" applyFill="1" applyBorder="1" applyAlignment="1">
      <alignment horizontal="center"/>
    </xf>
    <xf numFmtId="11" fontId="0" fillId="0" borderId="0" xfId="0" applyNumberFormat="1" applyFill="1" applyBorder="1" applyAlignment="1">
      <alignment horizontal="center"/>
    </xf>
    <xf numFmtId="2" fontId="0" fillId="0" borderId="0" xfId="0" applyNumberFormat="1" applyFill="1" applyBorder="1" applyAlignment="1">
      <alignment horizontal="center"/>
    </xf>
    <xf numFmtId="3" fontId="0" fillId="0" borderId="0" xfId="0" applyNumberFormat="1" applyFill="1" applyBorder="1" applyAlignment="1">
      <alignment horizontal="center"/>
    </xf>
    <xf numFmtId="1" fontId="0" fillId="0" borderId="0" xfId="0" applyNumberFormat="1" applyFill="1" applyBorder="1" applyAlignment="1">
      <alignment horizontal="center"/>
    </xf>
    <xf numFmtId="165" fontId="0" fillId="0" borderId="0" xfId="0" applyNumberFormat="1" applyFill="1" applyBorder="1" applyAlignment="1">
      <alignment horizontal="center"/>
    </xf>
    <xf numFmtId="0" fontId="0" fillId="0" borderId="4" xfId="0" applyFill="1" applyBorder="1" applyAlignment="1">
      <alignment horizontal="center"/>
    </xf>
    <xf numFmtId="0" fontId="0" fillId="0" borderId="37" xfId="0" applyBorder="1" applyAlignment="1">
      <alignment horizontal="center"/>
    </xf>
    <xf numFmtId="0" fontId="0" fillId="0" borderId="38" xfId="0" applyBorder="1" applyAlignment="1">
      <alignment horizontal="center"/>
    </xf>
    <xf numFmtId="164" fontId="0" fillId="0" borderId="0" xfId="0" applyNumberFormat="1" applyFill="1" applyBorder="1" applyAlignment="1">
      <alignment horizontal="right"/>
    </xf>
    <xf numFmtId="49" fontId="0" fillId="0" borderId="0" xfId="0" applyNumberFormat="1"/>
    <xf numFmtId="0" fontId="0" fillId="0" borderId="8" xfId="0" applyBorder="1" applyAlignment="1">
      <alignment horizontal="right"/>
    </xf>
    <xf numFmtId="0" fontId="0" fillId="3" borderId="22" xfId="0" applyFill="1" applyBorder="1" applyAlignment="1">
      <alignment horizontal="center"/>
    </xf>
    <xf numFmtId="0" fontId="0" fillId="3" borderId="18" xfId="0" applyFill="1" applyBorder="1" applyAlignment="1">
      <alignment horizontal="center"/>
    </xf>
    <xf numFmtId="164" fontId="0" fillId="3" borderId="14" xfId="0" applyNumberFormat="1" applyFill="1" applyBorder="1" applyAlignment="1">
      <alignment horizontal="center"/>
    </xf>
    <xf numFmtId="166" fontId="0" fillId="3" borderId="10" xfId="0" applyNumberFormat="1" applyFill="1" applyBorder="1" applyAlignment="1">
      <alignment horizontal="center"/>
    </xf>
    <xf numFmtId="0" fontId="1" fillId="0" borderId="0" xfId="0" applyFont="1" applyBorder="1" applyAlignment="1">
      <alignment horizontal="left"/>
    </xf>
    <xf numFmtId="0" fontId="1" fillId="0" borderId="0" xfId="0" applyFont="1" applyAlignment="1">
      <alignment horizontal="left"/>
    </xf>
    <xf numFmtId="0" fontId="0" fillId="0" borderId="0" xfId="0" applyAlignment="1"/>
    <xf numFmtId="0" fontId="0" fillId="0" borderId="0" xfId="0" applyFill="1" applyBorder="1" applyAlignment="1">
      <alignment horizontal="right"/>
    </xf>
    <xf numFmtId="1" fontId="0" fillId="0" borderId="0" xfId="0" applyNumberFormat="1" applyFill="1" applyBorder="1"/>
    <xf numFmtId="2" fontId="0" fillId="0" borderId="0" xfId="0" applyNumberFormat="1" applyFill="1" applyBorder="1"/>
    <xf numFmtId="0" fontId="1" fillId="0" borderId="0" xfId="0" applyFont="1" applyAlignment="1"/>
    <xf numFmtId="1" fontId="0" fillId="0" borderId="0" xfId="0" applyNumberFormat="1" applyFill="1"/>
    <xf numFmtId="0" fontId="0" fillId="0" borderId="0" xfId="0" applyFill="1" applyAlignment="1"/>
    <xf numFmtId="0" fontId="0" fillId="0" borderId="0" xfId="0" applyBorder="1" applyAlignment="1"/>
    <xf numFmtId="167" fontId="0" fillId="0" borderId="0" xfId="0" applyNumberFormat="1"/>
    <xf numFmtId="167" fontId="0" fillId="0" borderId="0" xfId="0" applyNumberFormat="1" applyAlignment="1">
      <alignment horizontal="right"/>
    </xf>
    <xf numFmtId="168" fontId="0" fillId="0" borderId="0" xfId="0" applyNumberFormat="1" applyFill="1" applyBorder="1"/>
    <xf numFmtId="168" fontId="0" fillId="0" borderId="0" xfId="0" applyNumberFormat="1"/>
    <xf numFmtId="169" fontId="0" fillId="0" borderId="0" xfId="0" applyNumberFormat="1"/>
    <xf numFmtId="169" fontId="0" fillId="0" borderId="0" xfId="0" applyNumberFormat="1" applyAlignment="1">
      <alignment horizontal="right"/>
    </xf>
    <xf numFmtId="0" fontId="0" fillId="0" borderId="5" xfId="0" applyBorder="1" applyAlignment="1">
      <alignment horizontal="right"/>
    </xf>
    <xf numFmtId="0" fontId="1" fillId="0" borderId="5" xfId="0" applyFont="1" applyBorder="1"/>
    <xf numFmtId="1" fontId="0" fillId="0" borderId="35" xfId="0" applyNumberFormat="1" applyBorder="1" applyAlignment="1">
      <alignment horizontal="center"/>
    </xf>
    <xf numFmtId="169" fontId="0" fillId="0" borderId="0" xfId="0" applyNumberFormat="1" applyFill="1" applyBorder="1"/>
    <xf numFmtId="0" fontId="0" fillId="0" borderId="0" xfId="0" applyAlignment="1">
      <alignment horizontal="right"/>
    </xf>
    <xf numFmtId="0" fontId="1" fillId="0" borderId="0" xfId="0" applyFont="1" applyBorder="1" applyAlignment="1">
      <alignment horizontal="right"/>
    </xf>
    <xf numFmtId="0" fontId="1" fillId="0" borderId="0" xfId="0" applyFont="1" applyAlignment="1">
      <alignment horizontal="right"/>
    </xf>
    <xf numFmtId="0" fontId="0" fillId="0" borderId="0" xfId="0" applyBorder="1" applyAlignment="1">
      <alignment horizontal="center"/>
    </xf>
    <xf numFmtId="0" fontId="1" fillId="0" borderId="0" xfId="0" applyFont="1" applyAlignment="1">
      <alignment wrapText="1"/>
    </xf>
    <xf numFmtId="170" fontId="0" fillId="3" borderId="41" xfId="0" applyNumberFormat="1" applyFill="1" applyBorder="1" applyAlignment="1">
      <alignment horizontal="center"/>
    </xf>
    <xf numFmtId="0" fontId="0" fillId="0" borderId="0" xfId="0" applyFill="1" applyAlignment="1">
      <alignment horizontal="right"/>
    </xf>
    <xf numFmtId="0" fontId="0" fillId="0" borderId="42" xfId="0" applyBorder="1" applyAlignment="1">
      <alignment horizontal="right"/>
    </xf>
    <xf numFmtId="167" fontId="0" fillId="0" borderId="0" xfId="0" applyNumberFormat="1" applyBorder="1" applyAlignment="1">
      <alignment horizontal="center"/>
    </xf>
    <xf numFmtId="0" fontId="0" fillId="0" borderId="5" xfId="0" applyBorder="1" applyAlignment="1">
      <alignment horizontal="center"/>
    </xf>
    <xf numFmtId="0" fontId="0" fillId="0" borderId="0" xfId="0" applyFont="1" applyBorder="1" applyAlignment="1">
      <alignment horizontal="left"/>
    </xf>
    <xf numFmtId="0" fontId="0" fillId="0" borderId="43" xfId="0" applyBorder="1"/>
    <xf numFmtId="171" fontId="0" fillId="0" borderId="0" xfId="0" applyNumberFormat="1" applyAlignment="1">
      <alignment horizontal="center"/>
    </xf>
    <xf numFmtId="171" fontId="0" fillId="0" borderId="2" xfId="0" applyNumberFormat="1" applyFill="1" applyBorder="1" applyAlignment="1">
      <alignment horizontal="center"/>
    </xf>
    <xf numFmtId="171" fontId="0" fillId="0" borderId="3" xfId="0" applyNumberFormat="1" applyFill="1" applyBorder="1" applyAlignment="1">
      <alignment horizontal="center"/>
    </xf>
    <xf numFmtId="13" fontId="0" fillId="0" borderId="2" xfId="0" applyNumberFormat="1" applyFill="1" applyBorder="1" applyAlignment="1">
      <alignment horizontal="center"/>
    </xf>
    <xf numFmtId="13" fontId="0" fillId="0" borderId="3" xfId="0" applyNumberFormat="1" applyFill="1" applyBorder="1" applyAlignment="1">
      <alignment horizontal="center"/>
    </xf>
    <xf numFmtId="13" fontId="0" fillId="0" borderId="0" xfId="0" applyNumberFormat="1"/>
    <xf numFmtId="0" fontId="0" fillId="0" borderId="45" xfId="0" applyBorder="1" applyAlignment="1">
      <alignment horizontal="center"/>
    </xf>
    <xf numFmtId="0" fontId="0" fillId="0" borderId="45" xfId="0" applyBorder="1" applyAlignment="1">
      <alignment horizontal="right"/>
    </xf>
    <xf numFmtId="0" fontId="0" fillId="0" borderId="45" xfId="0" applyBorder="1"/>
    <xf numFmtId="172" fontId="0" fillId="0" borderId="2" xfId="0" applyNumberFormat="1" applyFill="1" applyBorder="1" applyAlignment="1">
      <alignment horizontal="center"/>
    </xf>
    <xf numFmtId="172" fontId="0" fillId="0" borderId="3" xfId="0" applyNumberFormat="1" applyFill="1" applyBorder="1" applyAlignment="1">
      <alignment horizontal="center"/>
    </xf>
    <xf numFmtId="0" fontId="12" fillId="0" borderId="0" xfId="0" applyFont="1" applyAlignment="1">
      <alignment horizontal="center"/>
    </xf>
    <xf numFmtId="0" fontId="13" fillId="0" borderId="0" xfId="0" applyFont="1" applyAlignment="1">
      <alignment horizontal="center" wrapText="1"/>
    </xf>
    <xf numFmtId="2" fontId="12" fillId="0" borderId="0" xfId="0" applyNumberFormat="1" applyFont="1" applyFill="1" applyBorder="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171" fontId="0" fillId="0" borderId="0" xfId="0" applyNumberFormat="1" applyFill="1" applyBorder="1" applyAlignment="1">
      <alignment horizontal="center"/>
    </xf>
    <xf numFmtId="13" fontId="0" fillId="0" borderId="0" xfId="0" applyNumberFormat="1" applyFill="1" applyBorder="1" applyAlignment="1">
      <alignment horizontal="center"/>
    </xf>
    <xf numFmtId="0" fontId="0" fillId="0" borderId="0" xfId="0" applyFont="1" applyAlignment="1">
      <alignment horizontal="left"/>
    </xf>
    <xf numFmtId="0" fontId="0" fillId="0" borderId="0" xfId="0" applyBorder="1" applyAlignment="1">
      <alignment horizontal="center"/>
    </xf>
    <xf numFmtId="0" fontId="0" fillId="0" borderId="0" xfId="0" applyBorder="1" applyAlignment="1">
      <alignment wrapText="1"/>
    </xf>
    <xf numFmtId="0" fontId="0" fillId="0" borderId="47" xfId="0" applyFill="1" applyBorder="1" applyAlignment="1">
      <alignment horizontal="center"/>
    </xf>
    <xf numFmtId="2" fontId="0" fillId="0" borderId="0" xfId="0" applyNumberFormat="1" applyBorder="1" applyAlignment="1">
      <alignment horizontal="center"/>
    </xf>
    <xf numFmtId="173" fontId="0" fillId="0" borderId="0" xfId="0" applyNumberFormat="1"/>
    <xf numFmtId="173" fontId="0" fillId="0" borderId="33" xfId="0" applyNumberFormat="1" applyBorder="1" applyAlignment="1">
      <alignment horizontal="center"/>
    </xf>
    <xf numFmtId="173" fontId="0" fillId="0" borderId="36" xfId="0" applyNumberFormat="1" applyBorder="1" applyAlignment="1">
      <alignment horizontal="center"/>
    </xf>
    <xf numFmtId="173" fontId="0" fillId="3" borderId="40" xfId="0" applyNumberFormat="1" applyFill="1" applyBorder="1" applyAlignment="1">
      <alignment horizontal="center"/>
    </xf>
    <xf numFmtId="173" fontId="0" fillId="0" borderId="0" xfId="0" applyNumberFormat="1" applyAlignment="1">
      <alignment horizontal="right"/>
    </xf>
    <xf numFmtId="166" fontId="0" fillId="0" borderId="0" xfId="0" applyNumberFormat="1" applyFill="1" applyBorder="1" applyAlignment="1">
      <alignment horizontal="center"/>
    </xf>
    <xf numFmtId="0" fontId="0" fillId="0" borderId="0" xfId="0" applyNumberFormat="1"/>
    <xf numFmtId="0" fontId="0" fillId="0" borderId="49" xfId="0" applyFill="1" applyBorder="1" applyAlignment="1">
      <alignment horizontal="center"/>
    </xf>
    <xf numFmtId="3" fontId="1" fillId="0" borderId="0" xfId="0" applyNumberFormat="1" applyFont="1" applyFill="1" applyBorder="1" applyAlignment="1"/>
    <xf numFmtId="0" fontId="0" fillId="0" borderId="0" xfId="0" quotePrefix="1" applyBorder="1" applyAlignment="1">
      <alignment horizontal="right"/>
    </xf>
    <xf numFmtId="0" fontId="0" fillId="0" borderId="45" xfId="0" quotePrefix="1" applyBorder="1" applyAlignment="1">
      <alignment horizontal="right"/>
    </xf>
    <xf numFmtId="0" fontId="0" fillId="0" borderId="0" xfId="0" applyNumberFormat="1" applyFill="1" applyBorder="1" applyAlignment="1">
      <alignment horizontal="center"/>
    </xf>
    <xf numFmtId="168" fontId="0" fillId="0" borderId="0" xfId="0" applyNumberFormat="1" applyFill="1" applyBorder="1" applyAlignment="1">
      <alignment horizontal="right" vertical="center"/>
    </xf>
    <xf numFmtId="0" fontId="0" fillId="0" borderId="0" xfId="0" applyBorder="1" applyAlignment="1">
      <alignment horizontal="center"/>
    </xf>
    <xf numFmtId="0" fontId="0" fillId="0" borderId="0" xfId="0" applyAlignment="1">
      <alignment horizontal="right"/>
    </xf>
    <xf numFmtId="174" fontId="0" fillId="3" borderId="39" xfId="0" applyNumberFormat="1" applyFill="1" applyBorder="1" applyAlignment="1">
      <alignment horizontal="center"/>
    </xf>
    <xf numFmtId="174" fontId="0" fillId="3" borderId="18" xfId="0" applyNumberFormat="1" applyFill="1" applyBorder="1" applyAlignment="1">
      <alignment horizontal="center"/>
    </xf>
    <xf numFmtId="13" fontId="0" fillId="0" borderId="0" xfId="0" applyNumberFormat="1" applyAlignment="1">
      <alignment horizontal="center"/>
    </xf>
    <xf numFmtId="49" fontId="0" fillId="0" borderId="0" xfId="0" applyNumberFormat="1" applyAlignment="1">
      <alignment horizontal="center"/>
    </xf>
    <xf numFmtId="0" fontId="0" fillId="0" borderId="0" xfId="0" applyBorder="1" applyAlignment="1">
      <alignment horizontal="center"/>
    </xf>
    <xf numFmtId="0" fontId="0" fillId="0" borderId="5" xfId="0" quotePrefix="1" applyBorder="1" applyAlignment="1">
      <alignment horizontal="right"/>
    </xf>
    <xf numFmtId="0" fontId="1" fillId="0" borderId="0" xfId="0" applyFont="1" applyAlignment="1">
      <alignment horizontal="right"/>
    </xf>
    <xf numFmtId="0" fontId="0" fillId="0" borderId="0" xfId="0" applyFont="1" applyAlignment="1">
      <alignment horizontal="center"/>
    </xf>
    <xf numFmtId="0" fontId="0" fillId="0" borderId="0" xfId="0" applyFont="1" applyAlignment="1">
      <alignment horizontal="left" vertical="top" wrapText="1"/>
    </xf>
    <xf numFmtId="0" fontId="15" fillId="0" borderId="0" xfId="0" applyFont="1" applyBorder="1" applyAlignment="1">
      <alignment horizontal="left" vertical="top" wrapText="1"/>
    </xf>
    <xf numFmtId="0" fontId="0" fillId="0" borderId="0" xfId="0" applyAlignment="1">
      <alignment horizontal="center"/>
    </xf>
    <xf numFmtId="0" fontId="0" fillId="0" borderId="0" xfId="0" applyFont="1" applyBorder="1" applyAlignment="1">
      <alignment horizontal="left" vertical="top" wrapText="1"/>
    </xf>
    <xf numFmtId="0" fontId="0" fillId="0" borderId="0" xfId="0" applyFont="1" applyAlignment="1">
      <alignment horizontal="center"/>
    </xf>
    <xf numFmtId="0" fontId="0" fillId="0" borderId="0" xfId="0" applyAlignment="1">
      <alignment horizontal="right"/>
    </xf>
    <xf numFmtId="0" fontId="0" fillId="0" borderId="29" xfId="0" applyBorder="1" applyAlignment="1">
      <alignment horizontal="left"/>
    </xf>
    <xf numFmtId="164" fontId="0" fillId="0" borderId="0" xfId="0" applyNumberFormat="1" applyBorder="1" applyAlignment="1">
      <alignment horizontal="center"/>
    </xf>
    <xf numFmtId="0" fontId="1" fillId="0" borderId="0" xfId="0" applyFont="1" applyBorder="1" applyAlignment="1">
      <alignment horizontal="right"/>
    </xf>
    <xf numFmtId="0" fontId="1" fillId="0" borderId="0" xfId="0" applyFont="1" applyBorder="1" applyAlignment="1">
      <alignment horizontal="center"/>
    </xf>
    <xf numFmtId="0" fontId="0" fillId="0" borderId="0" xfId="0" applyBorder="1" applyAlignment="1">
      <alignment horizontal="right"/>
    </xf>
    <xf numFmtId="0" fontId="0" fillId="0" borderId="0" xfId="0" applyAlignment="1">
      <alignment horizontal="center"/>
    </xf>
    <xf numFmtId="0" fontId="0" fillId="0" borderId="0" xfId="0" applyAlignment="1">
      <alignment horizontal="right"/>
    </xf>
    <xf numFmtId="0" fontId="0" fillId="0" borderId="0" xfId="0" applyBorder="1" applyAlignment="1">
      <alignment horizontal="center"/>
    </xf>
    <xf numFmtId="0" fontId="0" fillId="5" borderId="0" xfId="0" applyFill="1" applyAlignment="1"/>
    <xf numFmtId="0" fontId="15" fillId="5" borderId="0" xfId="0" applyFont="1" applyFill="1" applyAlignment="1">
      <alignment wrapText="1"/>
    </xf>
    <xf numFmtId="0" fontId="5" fillId="0" borderId="0" xfId="0" applyFont="1" applyBorder="1" applyAlignment="1">
      <alignment horizontal="left"/>
    </xf>
    <xf numFmtId="49" fontId="0" fillId="0" borderId="0" xfId="0" applyNumberFormat="1" applyBorder="1" applyAlignment="1">
      <alignment horizontal="left"/>
    </xf>
    <xf numFmtId="0" fontId="0" fillId="0" borderId="29" xfId="0" applyBorder="1"/>
    <xf numFmtId="0" fontId="0" fillId="0" borderId="1" xfId="0" applyFill="1" applyBorder="1" applyAlignment="1"/>
    <xf numFmtId="0" fontId="0" fillId="0" borderId="0" xfId="0" applyBorder="1" applyAlignment="1">
      <alignment horizontal="left" vertical="top" wrapText="1"/>
    </xf>
    <xf numFmtId="0" fontId="0" fillId="0" borderId="0" xfId="0" applyBorder="1" applyAlignment="1">
      <alignment horizontal="left"/>
    </xf>
    <xf numFmtId="0" fontId="0" fillId="0" borderId="0" xfId="0" applyBorder="1" applyAlignment="1">
      <alignment horizontal="left" wrapText="1"/>
    </xf>
    <xf numFmtId="0" fontId="0" fillId="0" borderId="0" xfId="0" applyBorder="1" applyAlignment="1">
      <alignment vertical="top"/>
    </xf>
    <xf numFmtId="0" fontId="0" fillId="5" borderId="0" xfId="0" applyFill="1"/>
    <xf numFmtId="0" fontId="0" fillId="0" borderId="0" xfId="0" applyAlignment="1">
      <alignment horizontal="right"/>
    </xf>
    <xf numFmtId="2" fontId="0" fillId="0" borderId="0" xfId="0" applyNumberFormat="1" applyAlignment="1">
      <alignment horizontal="center"/>
    </xf>
    <xf numFmtId="3" fontId="1" fillId="0" borderId="0" xfId="0" applyNumberFormat="1" applyFont="1" applyFill="1" applyBorder="1" applyAlignment="1">
      <alignment wrapText="1"/>
    </xf>
    <xf numFmtId="169" fontId="0" fillId="3" borderId="39" xfId="0" applyNumberFormat="1" applyFill="1" applyBorder="1" applyAlignment="1">
      <alignment horizontal="center"/>
    </xf>
    <xf numFmtId="0" fontId="0" fillId="5" borderId="0" xfId="0" applyFill="1" applyAlignment="1">
      <alignment horizontal="center"/>
    </xf>
    <xf numFmtId="0" fontId="0" fillId="0" borderId="0" xfId="0" applyFill="1" applyBorder="1" applyAlignment="1">
      <alignment horizontal="center" vertical="center" wrapText="1"/>
    </xf>
    <xf numFmtId="0" fontId="1" fillId="0" borderId="0" xfId="0" applyFont="1" applyAlignment="1">
      <alignment horizontal="right"/>
    </xf>
    <xf numFmtId="0" fontId="0" fillId="0" borderId="0" xfId="0" applyAlignment="1">
      <alignment horizontal="left" vertical="top" wrapText="1"/>
    </xf>
    <xf numFmtId="0" fontId="0" fillId="0" borderId="32" xfId="0" quotePrefix="1" applyBorder="1" applyAlignment="1">
      <alignment horizontal="left" vertical="center"/>
    </xf>
    <xf numFmtId="0" fontId="0" fillId="0" borderId="0" xfId="0" quotePrefix="1" applyAlignment="1">
      <alignment vertical="center"/>
    </xf>
    <xf numFmtId="0" fontId="0" fillId="0" borderId="0" xfId="0" quotePrefix="1" applyAlignment="1">
      <alignment horizontal="left" vertical="center" wrapText="1"/>
    </xf>
    <xf numFmtId="0" fontId="0" fillId="0" borderId="0" xfId="0" quotePrefix="1" applyBorder="1" applyAlignment="1">
      <alignment vertical="center" wrapText="1"/>
    </xf>
    <xf numFmtId="0" fontId="0" fillId="0" borderId="0" xfId="0" applyBorder="1" applyAlignment="1">
      <alignment vertical="center" wrapText="1"/>
    </xf>
    <xf numFmtId="0" fontId="0" fillId="0" borderId="0" xfId="0" quotePrefix="1" applyBorder="1"/>
    <xf numFmtId="0" fontId="0" fillId="0" borderId="0" xfId="0" quotePrefix="1" applyAlignment="1">
      <alignment horizontal="left" vertical="top" wrapText="1"/>
    </xf>
    <xf numFmtId="0" fontId="0" fillId="0" borderId="0" xfId="0" quotePrefix="1" applyAlignment="1">
      <alignment vertical="top" wrapText="1"/>
    </xf>
    <xf numFmtId="0" fontId="1" fillId="0" borderId="0" xfId="0" applyFont="1" applyAlignment="1">
      <alignment horizontal="right" vertical="top"/>
    </xf>
    <xf numFmtId="0" fontId="0" fillId="0" borderId="0" xfId="0" quotePrefix="1" applyFill="1" applyBorder="1"/>
    <xf numFmtId="0" fontId="0" fillId="0" borderId="0" xfId="0" quotePrefix="1" applyBorder="1" applyAlignment="1">
      <alignment horizontal="left" vertical="top" wrapText="1"/>
    </xf>
    <xf numFmtId="0" fontId="0" fillId="0" borderId="0" xfId="0" quotePrefix="1" applyAlignment="1">
      <alignment vertical="top"/>
    </xf>
    <xf numFmtId="173" fontId="0" fillId="2" borderId="46" xfId="0" applyNumberFormat="1" applyFill="1" applyBorder="1" applyProtection="1">
      <protection locked="0"/>
    </xf>
    <xf numFmtId="168" fontId="0" fillId="2" borderId="44" xfId="0" applyNumberFormat="1" applyFill="1" applyBorder="1" applyProtection="1">
      <protection locked="0"/>
    </xf>
    <xf numFmtId="168" fontId="0" fillId="2" borderId="30" xfId="0" applyNumberFormat="1" applyFill="1" applyBorder="1" applyProtection="1">
      <protection locked="0"/>
    </xf>
    <xf numFmtId="168" fontId="0" fillId="2" borderId="26" xfId="0" applyNumberFormat="1" applyFill="1" applyBorder="1" applyProtection="1">
      <protection locked="0"/>
    </xf>
    <xf numFmtId="11" fontId="0" fillId="2" borderId="44" xfId="0" applyNumberFormat="1" applyFill="1" applyBorder="1" applyAlignment="1" applyProtection="1">
      <alignment horizontal="center"/>
      <protection locked="0"/>
    </xf>
    <xf numFmtId="0" fontId="0" fillId="2" borderId="44" xfId="0" applyFill="1" applyBorder="1" applyAlignment="1" applyProtection="1">
      <alignment horizontal="center"/>
      <protection locked="0"/>
    </xf>
    <xf numFmtId="0" fontId="0" fillId="4" borderId="54" xfId="0" applyFill="1" applyBorder="1" applyAlignment="1" applyProtection="1">
      <alignment horizontal="center"/>
      <protection locked="0"/>
    </xf>
    <xf numFmtId="0" fontId="0" fillId="2" borderId="46" xfId="0" applyFill="1" applyBorder="1" applyAlignment="1" applyProtection="1">
      <alignment horizontal="center"/>
      <protection locked="0"/>
    </xf>
    <xf numFmtId="173" fontId="0" fillId="2" borderId="60" xfId="0" applyNumberFormat="1" applyFill="1" applyBorder="1" applyProtection="1">
      <protection locked="0"/>
    </xf>
    <xf numFmtId="168" fontId="0" fillId="2" borderId="48" xfId="0" applyNumberFormat="1" applyFill="1" applyBorder="1" applyProtection="1">
      <protection locked="0"/>
    </xf>
    <xf numFmtId="11" fontId="0" fillId="2" borderId="26" xfId="0" applyNumberFormat="1" applyFill="1" applyBorder="1" applyAlignment="1" applyProtection="1">
      <alignment horizontal="center"/>
      <protection locked="0"/>
    </xf>
    <xf numFmtId="11" fontId="0" fillId="2" borderId="48" xfId="0" applyNumberFormat="1" applyFill="1" applyBorder="1" applyAlignment="1" applyProtection="1">
      <alignment horizontal="center"/>
      <protection locked="0"/>
    </xf>
    <xf numFmtId="0" fontId="0" fillId="2" borderId="50" xfId="0" applyFill="1" applyBorder="1" applyAlignment="1" applyProtection="1">
      <alignment horizontal="center"/>
      <protection locked="0"/>
    </xf>
    <xf numFmtId="173" fontId="0" fillId="3" borderId="62" xfId="0" applyNumberFormat="1" applyFill="1" applyBorder="1" applyAlignment="1">
      <alignment horizontal="center"/>
    </xf>
    <xf numFmtId="169" fontId="0" fillId="3" borderId="41" xfId="0" applyNumberFormat="1" applyFill="1" applyBorder="1" applyAlignment="1">
      <alignment horizontal="center"/>
    </xf>
    <xf numFmtId="0" fontId="0" fillId="0" borderId="0" xfId="0" applyFont="1" applyBorder="1" applyAlignment="1"/>
    <xf numFmtId="0" fontId="0" fillId="0" borderId="0" xfId="0" applyAlignment="1">
      <alignment horizontal="center"/>
    </xf>
    <xf numFmtId="0" fontId="0" fillId="0" borderId="0" xfId="0" applyAlignment="1">
      <alignment horizontal="right"/>
    </xf>
    <xf numFmtId="0" fontId="1" fillId="0" borderId="0" xfId="0" applyFont="1" applyAlignment="1">
      <alignment horizontal="right"/>
    </xf>
    <xf numFmtId="0" fontId="0" fillId="0" borderId="4" xfId="0" applyBorder="1" applyAlignment="1">
      <alignment horizontal="center"/>
    </xf>
    <xf numFmtId="0" fontId="0" fillId="0" borderId="0" xfId="0" quotePrefix="1" applyAlignment="1">
      <alignment horizontal="center"/>
    </xf>
    <xf numFmtId="164" fontId="0" fillId="0" borderId="2" xfId="0" applyNumberFormat="1" applyBorder="1" applyAlignment="1">
      <alignment horizontal="center"/>
    </xf>
    <xf numFmtId="0" fontId="0" fillId="2" borderId="64" xfId="0" applyFill="1" applyBorder="1" applyAlignment="1">
      <alignment horizontal="center"/>
    </xf>
    <xf numFmtId="0" fontId="0" fillId="0" borderId="0" xfId="0" applyFont="1" applyAlignment="1">
      <alignment horizontal="left" vertical="top" wrapText="1"/>
    </xf>
    <xf numFmtId="0" fontId="1" fillId="0" borderId="0" xfId="0" applyFont="1" applyBorder="1" applyAlignment="1">
      <alignment vertical="center" wrapText="1"/>
    </xf>
    <xf numFmtId="0" fontId="0" fillId="0" borderId="0" xfId="0" quotePrefix="1" applyBorder="1" applyAlignment="1">
      <alignment vertical="center"/>
    </xf>
    <xf numFmtId="0" fontId="0" fillId="0" borderId="0" xfId="0" applyFont="1" applyAlignment="1">
      <alignment horizontal="center"/>
    </xf>
    <xf numFmtId="0" fontId="0" fillId="0" borderId="0" xfId="0" applyAlignment="1">
      <alignment horizontal="center"/>
    </xf>
    <xf numFmtId="0" fontId="0" fillId="0" borderId="0" xfId="0" applyAlignment="1">
      <alignment horizontal="right"/>
    </xf>
    <xf numFmtId="164" fontId="0" fillId="0" borderId="0" xfId="0" applyNumberFormat="1" applyBorder="1" applyAlignment="1">
      <alignment horizontal="center"/>
    </xf>
    <xf numFmtId="0" fontId="1" fillId="0" borderId="0" xfId="0" applyFont="1" applyBorder="1" applyAlignment="1">
      <alignment horizontal="right"/>
    </xf>
    <xf numFmtId="0" fontId="1" fillId="0" borderId="0" xfId="0" applyFont="1" applyAlignment="1">
      <alignment horizontal="right"/>
    </xf>
    <xf numFmtId="0" fontId="1" fillId="0" borderId="0" xfId="0" applyFont="1" applyAlignment="1">
      <alignment horizontal="left"/>
    </xf>
    <xf numFmtId="0" fontId="0" fillId="0" borderId="5" xfId="0" applyBorder="1" applyAlignment="1">
      <alignment horizontal="center"/>
    </xf>
    <xf numFmtId="0" fontId="0" fillId="0" borderId="0" xfId="0" applyBorder="1" applyAlignment="1">
      <alignment horizontal="center"/>
    </xf>
    <xf numFmtId="0" fontId="0" fillId="0" borderId="66" xfId="0" applyFill="1" applyBorder="1" applyAlignment="1">
      <alignment horizontal="center"/>
    </xf>
    <xf numFmtId="164" fontId="1" fillId="0" borderId="0" xfId="0" applyNumberFormat="1" applyFont="1" applyBorder="1" applyAlignment="1">
      <alignment horizontal="right"/>
    </xf>
    <xf numFmtId="164" fontId="0" fillId="0" borderId="0" xfId="0" applyNumberFormat="1" applyBorder="1" applyAlignment="1">
      <alignment horizontal="center"/>
    </xf>
    <xf numFmtId="0" fontId="0" fillId="0" borderId="0" xfId="0" applyFont="1" applyBorder="1" applyAlignment="1">
      <alignment horizontal="center"/>
    </xf>
    <xf numFmtId="169" fontId="0" fillId="0" borderId="0" xfId="0" applyNumberFormat="1" applyFill="1" applyBorder="1" applyAlignment="1">
      <alignment horizontal="center"/>
    </xf>
    <xf numFmtId="0" fontId="0" fillId="0" borderId="0" xfId="0" applyFont="1" applyFill="1" applyAlignment="1">
      <alignment horizontal="left" vertical="top" wrapText="1"/>
    </xf>
    <xf numFmtId="0" fontId="0" fillId="5" borderId="0" xfId="0" applyFill="1" applyAlignment="1">
      <alignment horizontal="center"/>
    </xf>
    <xf numFmtId="0" fontId="1" fillId="0" borderId="0" xfId="0" applyFont="1" applyAlignment="1">
      <alignment horizontal="center"/>
    </xf>
    <xf numFmtId="0" fontId="0" fillId="0" borderId="0" xfId="0" applyAlignment="1">
      <alignment horizontal="left" vertical="top" wrapText="1"/>
    </xf>
    <xf numFmtId="0" fontId="1" fillId="0" borderId="8" xfId="0" applyFont="1" applyBorder="1" applyAlignment="1">
      <alignment horizontal="center"/>
    </xf>
    <xf numFmtId="0" fontId="1" fillId="0" borderId="0" xfId="0" applyFont="1" applyAlignment="1">
      <alignment horizontal="right" wrapText="1"/>
    </xf>
    <xf numFmtId="0" fontId="1" fillId="0" borderId="61" xfId="0" applyFont="1" applyBorder="1" applyAlignment="1">
      <alignment horizontal="center"/>
    </xf>
    <xf numFmtId="0" fontId="0" fillId="0" borderId="32" xfId="0" applyBorder="1" applyAlignment="1">
      <alignment horizontal="left" vertical="top" wrapText="1"/>
    </xf>
    <xf numFmtId="0" fontId="0" fillId="0" borderId="0" xfId="0" applyBorder="1" applyAlignment="1">
      <alignment horizontal="left" vertical="top" wrapText="1"/>
    </xf>
    <xf numFmtId="0" fontId="0" fillId="0" borderId="0" xfId="0" applyAlignment="1">
      <alignment horizontal="center" vertical="top" wrapText="1"/>
    </xf>
    <xf numFmtId="0" fontId="0" fillId="0" borderId="0" xfId="0" applyFont="1" applyAlignment="1">
      <alignment horizontal="left" vertical="top" wrapText="1"/>
    </xf>
    <xf numFmtId="0" fontId="15" fillId="0" borderId="32" xfId="0" applyFont="1" applyBorder="1" applyAlignment="1">
      <alignment horizontal="left" vertical="top" wrapText="1"/>
    </xf>
    <xf numFmtId="0" fontId="0" fillId="0" borderId="32" xfId="0" applyFont="1" applyBorder="1" applyAlignment="1">
      <alignment horizontal="left" vertical="top" wrapText="1"/>
    </xf>
    <xf numFmtId="0" fontId="0" fillId="0" borderId="0" xfId="0" applyFont="1" applyBorder="1" applyAlignment="1">
      <alignment horizontal="left" vertical="top" wrapText="1"/>
    </xf>
    <xf numFmtId="0" fontId="0" fillId="0" borderId="0" xfId="0" applyAlignment="1">
      <alignment horizontal="center"/>
    </xf>
    <xf numFmtId="0" fontId="15" fillId="0" borderId="32" xfId="0" applyFont="1" applyFill="1" applyBorder="1" applyAlignment="1">
      <alignment horizontal="left" vertical="top" wrapText="1"/>
    </xf>
    <xf numFmtId="0" fontId="15" fillId="0" borderId="0" xfId="0" applyFont="1" applyFill="1" applyBorder="1" applyAlignment="1">
      <alignment horizontal="left" vertical="top" wrapText="1"/>
    </xf>
    <xf numFmtId="0" fontId="0" fillId="0" borderId="25" xfId="0" applyBorder="1" applyAlignment="1">
      <alignment horizontal="center"/>
    </xf>
    <xf numFmtId="0" fontId="0" fillId="0" borderId="24" xfId="0" applyBorder="1" applyAlignment="1">
      <alignment horizontal="center"/>
    </xf>
    <xf numFmtId="0" fontId="0" fillId="0" borderId="23" xfId="0" applyBorder="1" applyAlignment="1">
      <alignment horizontal="center"/>
    </xf>
    <xf numFmtId="0" fontId="0" fillId="0" borderId="53" xfId="0" applyBorder="1" applyAlignment="1">
      <alignment horizontal="center" vertical="center" wrapText="1"/>
    </xf>
    <xf numFmtId="0" fontId="0" fillId="0" borderId="29" xfId="0" applyBorder="1" applyAlignment="1">
      <alignment horizontal="center" vertical="center" wrapText="1"/>
    </xf>
    <xf numFmtId="0" fontId="0" fillId="0" borderId="49" xfId="0" applyBorder="1" applyAlignment="1">
      <alignment horizontal="center" vertical="center" wrapText="1"/>
    </xf>
    <xf numFmtId="0" fontId="1" fillId="0" borderId="8" xfId="0" applyFont="1" applyFill="1" applyBorder="1" applyAlignment="1">
      <alignment horizontal="center"/>
    </xf>
    <xf numFmtId="0" fontId="1" fillId="0" borderId="8" xfId="0" applyFont="1" applyBorder="1" applyAlignment="1">
      <alignment horizontal="left"/>
    </xf>
    <xf numFmtId="3" fontId="1" fillId="0" borderId="0" xfId="0" applyNumberFormat="1" applyFont="1" applyFill="1" applyBorder="1" applyAlignment="1">
      <alignment horizontal="center" wrapText="1"/>
    </xf>
    <xf numFmtId="0" fontId="1" fillId="0" borderId="0" xfId="0" applyFont="1" applyAlignment="1">
      <alignment horizontal="right"/>
    </xf>
    <xf numFmtId="0" fontId="1" fillId="0" borderId="0" xfId="0" applyFont="1" applyBorder="1" applyAlignment="1">
      <alignment horizontal="right"/>
    </xf>
    <xf numFmtId="164" fontId="1" fillId="0" borderId="0" xfId="0" applyNumberFormat="1" applyFont="1" applyBorder="1" applyAlignment="1">
      <alignment horizontal="right"/>
    </xf>
    <xf numFmtId="0" fontId="1" fillId="0" borderId="0" xfId="0" applyFont="1" applyAlignment="1">
      <alignment horizontal="left"/>
    </xf>
    <xf numFmtId="0" fontId="0" fillId="0" borderId="55" xfId="0" applyFont="1" applyBorder="1" applyAlignment="1">
      <alignment horizontal="center"/>
    </xf>
    <xf numFmtId="164" fontId="0" fillId="0" borderId="0" xfId="0" applyNumberFormat="1" applyBorder="1" applyAlignment="1">
      <alignment horizontal="center"/>
    </xf>
    <xf numFmtId="0" fontId="0" fillId="2" borderId="44" xfId="0" applyFont="1" applyFill="1" applyBorder="1" applyAlignment="1" applyProtection="1">
      <alignment horizontal="center"/>
      <protection locked="0"/>
    </xf>
    <xf numFmtId="164" fontId="0" fillId="2" borderId="51" xfId="0" applyNumberFormat="1" applyFill="1" applyBorder="1" applyAlignment="1" applyProtection="1">
      <alignment horizontal="left"/>
      <protection locked="0"/>
    </xf>
    <xf numFmtId="164" fontId="0" fillId="2" borderId="52" xfId="0" applyNumberFormat="1" applyFill="1" applyBorder="1" applyAlignment="1" applyProtection="1">
      <alignment horizontal="left"/>
      <protection locked="0"/>
    </xf>
    <xf numFmtId="13" fontId="0" fillId="2" borderId="44" xfId="0" applyNumberFormat="1" applyFont="1" applyFill="1" applyBorder="1" applyAlignment="1" applyProtection="1">
      <alignment horizontal="center"/>
      <protection locked="0"/>
    </xf>
    <xf numFmtId="171" fontId="0" fillId="2" borderId="44" xfId="0" applyNumberFormat="1" applyFont="1" applyFill="1" applyBorder="1" applyAlignment="1" applyProtection="1">
      <alignment horizontal="center"/>
      <protection locked="0"/>
    </xf>
    <xf numFmtId="171" fontId="0" fillId="0" borderId="0" xfId="0" applyNumberFormat="1" applyFont="1" applyFill="1" applyBorder="1" applyAlignment="1">
      <alignment horizontal="center"/>
    </xf>
    <xf numFmtId="0" fontId="0" fillId="4" borderId="58" xfId="0" applyFill="1" applyBorder="1" applyAlignment="1" applyProtection="1">
      <alignment horizontal="center"/>
      <protection locked="0"/>
    </xf>
    <xf numFmtId="0" fontId="0" fillId="4" borderId="59" xfId="0" applyFill="1" applyBorder="1" applyAlignment="1" applyProtection="1">
      <alignment horizontal="center"/>
      <protection locked="0"/>
    </xf>
    <xf numFmtId="0" fontId="0" fillId="0" borderId="0" xfId="0" applyAlignment="1">
      <alignment horizontal="right"/>
    </xf>
    <xf numFmtId="0" fontId="9" fillId="0" borderId="8" xfId="0" applyFont="1" applyBorder="1" applyAlignment="1">
      <alignment horizontal="center"/>
    </xf>
    <xf numFmtId="0" fontId="1" fillId="0" borderId="35" xfId="0" applyFont="1" applyBorder="1" applyAlignment="1">
      <alignment horizontal="right"/>
    </xf>
    <xf numFmtId="0" fontId="0" fillId="0" borderId="1" xfId="0" applyBorder="1" applyAlignment="1">
      <alignment horizontal="right"/>
    </xf>
    <xf numFmtId="0" fontId="6" fillId="0" borderId="0" xfId="0" applyFont="1" applyAlignment="1">
      <alignment horizontal="left"/>
    </xf>
    <xf numFmtId="0" fontId="0" fillId="0" borderId="5" xfId="0" applyBorder="1" applyAlignment="1" applyProtection="1">
      <alignment horizontal="left"/>
      <protection locked="0"/>
    </xf>
    <xf numFmtId="49" fontId="0" fillId="0" borderId="5" xfId="0" applyNumberFormat="1" applyBorder="1" applyAlignment="1" applyProtection="1">
      <alignment horizontal="left"/>
      <protection locked="0"/>
    </xf>
    <xf numFmtId="0" fontId="1" fillId="0" borderId="34" xfId="0" applyFont="1" applyBorder="1" applyAlignment="1">
      <alignment horizontal="right"/>
    </xf>
    <xf numFmtId="0" fontId="0" fillId="0" borderId="63" xfId="0" applyBorder="1" applyAlignment="1">
      <alignment horizontal="right"/>
    </xf>
    <xf numFmtId="0" fontId="0" fillId="0" borderId="5" xfId="0" applyBorder="1" applyAlignment="1">
      <alignment horizontal="center"/>
    </xf>
    <xf numFmtId="0" fontId="0" fillId="0" borderId="6" xfId="0" applyBorder="1" applyAlignment="1">
      <alignment horizontal="center"/>
    </xf>
    <xf numFmtId="0" fontId="0" fillId="0" borderId="47" xfId="0" applyBorder="1" applyAlignment="1">
      <alignment horizontal="center" vertical="center" wrapText="1"/>
    </xf>
    <xf numFmtId="0" fontId="1" fillId="0" borderId="0" xfId="0" applyFont="1" applyBorder="1" applyAlignment="1">
      <alignment horizontal="left"/>
    </xf>
    <xf numFmtId="0" fontId="0" fillId="0" borderId="0" xfId="0" applyFont="1" applyBorder="1" applyAlignment="1">
      <alignment horizontal="center"/>
    </xf>
    <xf numFmtId="0" fontId="0" fillId="0" borderId="29" xfId="0" applyBorder="1" applyAlignment="1" applyProtection="1">
      <alignment horizontal="left"/>
      <protection locked="0"/>
    </xf>
    <xf numFmtId="0" fontId="0" fillId="0" borderId="0" xfId="0" applyBorder="1" applyAlignment="1">
      <alignment horizontal="center"/>
    </xf>
    <xf numFmtId="0" fontId="0" fillId="0" borderId="65" xfId="0" applyBorder="1" applyAlignment="1">
      <alignment horizontal="center"/>
    </xf>
    <xf numFmtId="0" fontId="0" fillId="0" borderId="32" xfId="0" applyBorder="1" applyAlignment="1">
      <alignment horizontal="center"/>
    </xf>
    <xf numFmtId="0" fontId="0" fillId="0" borderId="24" xfId="0" applyBorder="1" applyAlignment="1" applyProtection="1">
      <alignment horizontal="left"/>
      <protection locked="0"/>
    </xf>
    <xf numFmtId="0" fontId="15" fillId="0" borderId="32" xfId="0" applyFont="1" applyFill="1" applyBorder="1" applyAlignment="1">
      <alignment horizontal="left" wrapText="1"/>
    </xf>
    <xf numFmtId="0" fontId="15" fillId="0" borderId="0" xfId="0" applyFont="1" applyFill="1" applyBorder="1" applyAlignment="1">
      <alignment horizontal="left" wrapText="1"/>
    </xf>
    <xf numFmtId="0" fontId="0" fillId="0" borderId="56" xfId="0" applyBorder="1" applyAlignment="1">
      <alignment horizontal="right"/>
    </xf>
    <xf numFmtId="0" fontId="0" fillId="0" borderId="57" xfId="0" applyBorder="1" applyAlignment="1">
      <alignment horizontal="right"/>
    </xf>
    <xf numFmtId="0" fontId="6" fillId="0" borderId="0" xfId="0" applyFont="1" applyAlignment="1">
      <alignment horizontal="center"/>
    </xf>
    <xf numFmtId="49" fontId="0" fillId="0" borderId="29" xfId="0" applyNumberFormat="1" applyBorder="1" applyAlignment="1" applyProtection="1">
      <alignment horizontal="left"/>
      <protection locked="0"/>
    </xf>
    <xf numFmtId="0" fontId="0" fillId="0" borderId="53" xfId="0" applyFill="1" applyBorder="1" applyAlignment="1">
      <alignment horizontal="center" vertical="center" wrapText="1"/>
    </xf>
    <xf numFmtId="0" fontId="0" fillId="0" borderId="29" xfId="0" applyFill="1" applyBorder="1" applyAlignment="1">
      <alignment horizontal="center" vertical="center" wrapText="1"/>
    </xf>
    <xf numFmtId="0" fontId="0" fillId="0" borderId="49" xfId="0" applyFill="1" applyBorder="1" applyAlignment="1">
      <alignment horizontal="center" vertical="center" wrapText="1"/>
    </xf>
    <xf numFmtId="164" fontId="0" fillId="0" borderId="32" xfId="0" applyNumberFormat="1" applyBorder="1" applyAlignment="1">
      <alignment horizontal="center"/>
    </xf>
    <xf numFmtId="0" fontId="0" fillId="2" borderId="51" xfId="0" applyFill="1" applyBorder="1" applyAlignment="1" applyProtection="1">
      <alignment horizontal="left"/>
      <protection locked="0"/>
    </xf>
    <xf numFmtId="0" fontId="0" fillId="2" borderId="52" xfId="0" applyFill="1" applyBorder="1" applyAlignment="1" applyProtection="1">
      <alignment horizontal="left"/>
      <protection locked="0"/>
    </xf>
    <xf numFmtId="0" fontId="15" fillId="0" borderId="32" xfId="0" applyFont="1" applyFill="1" applyBorder="1" applyAlignment="1">
      <alignment horizontal="center" wrapText="1"/>
    </xf>
    <xf numFmtId="0" fontId="15" fillId="0" borderId="0" xfId="0" applyFont="1" applyFill="1" applyBorder="1" applyAlignment="1">
      <alignment horizontal="center" wrapText="1"/>
    </xf>
    <xf numFmtId="0" fontId="1" fillId="0" borderId="32" xfId="0" applyFont="1" applyBorder="1" applyAlignment="1">
      <alignment horizontal="right"/>
    </xf>
    <xf numFmtId="0" fontId="1" fillId="0" borderId="33" xfId="0" applyFont="1" applyBorder="1" applyAlignment="1">
      <alignment horizontal="right"/>
    </xf>
  </cellXfs>
  <cellStyles count="1">
    <cellStyle name="Normal" xfId="0" builtinId="0"/>
  </cellStyles>
  <dxfs count="37">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30" formatCode="@"/>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30" formatCode="@"/>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ill>
        <patternFill>
          <bgColor rgb="FFFF0000"/>
        </patternFill>
      </fill>
    </dxf>
    <dxf>
      <fill>
        <patternFill>
          <bgColor rgb="FFFFFFAF"/>
        </patternFill>
      </fill>
      <border>
        <bottom style="thin">
          <color auto="1"/>
        </bottom>
        <vertical/>
        <horizontal/>
      </border>
    </dxf>
    <dxf>
      <fill>
        <patternFill>
          <bgColor rgb="FFFF5B5B"/>
        </patternFill>
      </fill>
      <border>
        <left/>
        <right/>
        <top/>
        <bottom/>
        <vertical/>
        <horizontal/>
      </border>
    </dxf>
    <dxf>
      <fill>
        <patternFill>
          <bgColor rgb="FFFF5B5B"/>
        </patternFill>
      </fill>
      <border>
        <left/>
        <right/>
        <top/>
        <bottom/>
        <vertical/>
        <horizontal/>
      </border>
    </dxf>
    <dxf>
      <fill>
        <patternFill>
          <bgColor rgb="FFFF0000"/>
        </patternFill>
      </fill>
    </dxf>
    <dxf>
      <fill>
        <patternFill>
          <bgColor rgb="FFFFFFAF"/>
        </patternFill>
      </fill>
      <border>
        <bottom style="thin">
          <color auto="1"/>
        </bottom>
        <vertical/>
        <horizontal/>
      </border>
    </dxf>
    <dxf>
      <fill>
        <patternFill>
          <bgColor rgb="FFFF5B5B"/>
        </patternFill>
      </fill>
      <border>
        <left/>
        <right/>
        <top/>
        <bottom/>
        <vertical/>
        <horizontal/>
      </border>
    </dxf>
    <dxf>
      <fill>
        <patternFill>
          <bgColor rgb="FFFF5B5B"/>
        </patternFill>
      </fill>
      <border>
        <left/>
        <right/>
        <top/>
        <bottom/>
        <vertical/>
        <horizontal/>
      </border>
    </dxf>
    <dxf>
      <fill>
        <patternFill>
          <bgColor rgb="FFFF0000"/>
        </patternFill>
      </fill>
    </dxf>
    <dxf>
      <fill>
        <patternFill>
          <bgColor rgb="FFFFFFAF"/>
        </patternFill>
      </fill>
      <border>
        <bottom style="thin">
          <color auto="1"/>
        </bottom>
        <vertical/>
        <horizontal/>
      </border>
    </dxf>
    <dxf>
      <fill>
        <patternFill>
          <bgColor rgb="FFFF5B5B"/>
        </patternFill>
      </fill>
      <border>
        <left/>
        <right/>
        <top/>
        <bottom/>
        <vertical/>
        <horizontal/>
      </border>
    </dxf>
    <dxf>
      <fill>
        <patternFill>
          <bgColor rgb="FFFF5B5B"/>
        </patternFill>
      </fill>
      <border>
        <left/>
        <right/>
        <top/>
        <bottom/>
        <vertical/>
        <horizontal/>
      </border>
    </dxf>
    <dxf>
      <fill>
        <patternFill>
          <bgColor rgb="FFFF0000"/>
        </patternFill>
      </fill>
    </dxf>
    <dxf>
      <fill>
        <patternFill>
          <bgColor rgb="FFFFFFAF"/>
        </patternFill>
      </fill>
      <border>
        <bottom style="thin">
          <color auto="1"/>
        </bottom>
        <vertical/>
        <horizontal/>
      </border>
    </dxf>
    <dxf>
      <fill>
        <patternFill>
          <bgColor rgb="FFFF5B5B"/>
        </patternFill>
      </fill>
      <border>
        <left/>
        <right/>
        <top/>
        <bottom/>
        <vertical/>
        <horizontal/>
      </border>
    </dxf>
    <dxf>
      <fill>
        <patternFill>
          <bgColor rgb="FFFF5B5B"/>
        </patternFill>
      </fill>
      <border>
        <left/>
        <right/>
        <top/>
        <bottom/>
        <vertical/>
        <horizontal/>
      </border>
    </dxf>
  </dxfs>
  <tableStyles count="0" defaultTableStyle="TableStyleMedium9" defaultPivotStyle="PivotStyleLight16"/>
  <colors>
    <mruColors>
      <color rgb="FFFFFFAF"/>
      <color rgb="FFFF5B5B"/>
      <color rgb="FFEFA1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jpeg"/><Relationship Id="rId1" Type="http://schemas.openxmlformats.org/officeDocument/2006/relationships/image" Target="../media/image2.jpeg"/><Relationship Id="rId5" Type="http://schemas.openxmlformats.org/officeDocument/2006/relationships/image" Target="../media/image6.png"/><Relationship Id="rId4" Type="http://schemas.openxmlformats.org/officeDocument/2006/relationships/image" Target="../media/image5.jpeg"/></Relationships>
</file>

<file path=xl/drawings/_rels/drawing3.xml.rels><?xml version="1.0" encoding="UTF-8" standalone="yes"?>
<Relationships xmlns="http://schemas.openxmlformats.org/package/2006/relationships"><Relationship Id="rId3" Type="http://schemas.openxmlformats.org/officeDocument/2006/relationships/image" Target="../media/image12.jpeg"/><Relationship Id="rId2" Type="http://schemas.openxmlformats.org/officeDocument/2006/relationships/image" Target="../media/image11.jpeg"/><Relationship Id="rId1" Type="http://schemas.openxmlformats.org/officeDocument/2006/relationships/image" Target="../media/image10.png"/><Relationship Id="rId5" Type="http://schemas.openxmlformats.org/officeDocument/2006/relationships/image" Target="../media/image14.png"/><Relationship Id="rId4" Type="http://schemas.openxmlformats.org/officeDocument/2006/relationships/image" Target="../media/image13.jpe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jpeg"/><Relationship Id="rId1" Type="http://schemas.openxmlformats.org/officeDocument/2006/relationships/image" Target="../media/image2.jpeg"/><Relationship Id="rId5" Type="http://schemas.openxmlformats.org/officeDocument/2006/relationships/image" Target="../media/image6.png"/><Relationship Id="rId4" Type="http://schemas.openxmlformats.org/officeDocument/2006/relationships/image" Target="../media/image5.jpeg"/></Relationships>
</file>

<file path=xl/drawings/_rels/drawing5.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image" Target="../media/image12.jpeg"/><Relationship Id="rId1" Type="http://schemas.openxmlformats.org/officeDocument/2006/relationships/image" Target="../media/image11.jpeg"/><Relationship Id="rId5" Type="http://schemas.openxmlformats.org/officeDocument/2006/relationships/image" Target="../media/image17.png"/><Relationship Id="rId4" Type="http://schemas.openxmlformats.org/officeDocument/2006/relationships/image" Target="../media/image16.jpeg"/></Relationships>
</file>

<file path=xl/drawings/_rels/vmlDrawing2.vml.rels><?xml version="1.0" encoding="UTF-8" standalone="yes"?>
<Relationships xmlns="http://schemas.openxmlformats.org/package/2006/relationships"><Relationship Id="rId3" Type="http://schemas.openxmlformats.org/officeDocument/2006/relationships/image" Target="../media/image9.jpeg"/><Relationship Id="rId2" Type="http://schemas.openxmlformats.org/officeDocument/2006/relationships/image" Target="../media/image8.png"/><Relationship Id="rId1" Type="http://schemas.openxmlformats.org/officeDocument/2006/relationships/image" Target="../media/image7.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image" Target="../media/image8.png"/></Relationships>
</file>

<file path=xl/drawings/_rels/vmlDrawing6.vml.rels><?xml version="1.0" encoding="UTF-8" standalone="yes"?>
<Relationships xmlns="http://schemas.openxmlformats.org/package/2006/relationships"><Relationship Id="rId3" Type="http://schemas.openxmlformats.org/officeDocument/2006/relationships/image" Target="../media/image9.jpeg"/><Relationship Id="rId2" Type="http://schemas.openxmlformats.org/officeDocument/2006/relationships/image" Target="../media/image8.png"/><Relationship Id="rId1" Type="http://schemas.openxmlformats.org/officeDocument/2006/relationships/image" Target="../media/image7.png"/></Relationships>
</file>

<file path=xl/drawings/_rels/vmlDrawing8.vml.rels><?xml version="1.0" encoding="UTF-8" standalone="yes"?>
<Relationships xmlns="http://schemas.openxmlformats.org/package/2006/relationships"><Relationship Id="rId3" Type="http://schemas.openxmlformats.org/officeDocument/2006/relationships/image" Target="../media/image9.jpeg"/><Relationship Id="rId2" Type="http://schemas.openxmlformats.org/officeDocument/2006/relationships/image" Target="../media/image8.png"/><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9344025</xdr:colOff>
      <xdr:row>1</xdr:row>
      <xdr:rowOff>1293883</xdr:rowOff>
    </xdr:to>
    <xdr:pic>
      <xdr:nvPicPr>
        <xdr:cNvPr id="4" name="Picture 3">
          <a:extLst>
            <a:ext uri="{FF2B5EF4-FFF2-40B4-BE49-F238E27FC236}">
              <a16:creationId xmlns:a16="http://schemas.microsoft.com/office/drawing/2014/main" xmlns=""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90500"/>
          <a:ext cx="10553700" cy="12938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45720</xdr:colOff>
      <xdr:row>87</xdr:row>
      <xdr:rowOff>114301</xdr:rowOff>
    </xdr:from>
    <xdr:to>
      <xdr:col>7</xdr:col>
      <xdr:colOff>41564</xdr:colOff>
      <xdr:row>89</xdr:row>
      <xdr:rowOff>122960</xdr:rowOff>
    </xdr:to>
    <xdr:pic>
      <xdr:nvPicPr>
        <xdr:cNvPr id="2" name="Picture 1">
          <a:extLst>
            <a:ext uri="{FF2B5EF4-FFF2-40B4-BE49-F238E27FC236}">
              <a16:creationId xmlns:a16="http://schemas.microsoft.com/office/drawing/2014/main" xmlns="" id="{008098BE-E262-4BCD-A755-1129C7D518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69670" y="18116551"/>
          <a:ext cx="3901094" cy="389659"/>
        </a:xfrm>
        <a:prstGeom prst="rect">
          <a:avLst/>
        </a:prstGeom>
      </xdr:spPr>
    </xdr:pic>
    <xdr:clientData/>
  </xdr:twoCellAnchor>
  <xdr:twoCellAnchor editAs="oneCell">
    <xdr:from>
      <xdr:col>2</xdr:col>
      <xdr:colOff>7621</xdr:colOff>
      <xdr:row>125</xdr:row>
      <xdr:rowOff>68581</xdr:rowOff>
    </xdr:from>
    <xdr:to>
      <xdr:col>6</xdr:col>
      <xdr:colOff>127116</xdr:colOff>
      <xdr:row>127</xdr:row>
      <xdr:rowOff>173876</xdr:rowOff>
    </xdr:to>
    <xdr:pic>
      <xdr:nvPicPr>
        <xdr:cNvPr id="3" name="Picture 2">
          <a:extLst>
            <a:ext uri="{FF2B5EF4-FFF2-40B4-BE49-F238E27FC236}">
              <a16:creationId xmlns:a16="http://schemas.microsoft.com/office/drawing/2014/main" xmlns="" id="{B5C09F1C-B720-4FFF-A355-11DDA22F424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31571" y="25538431"/>
          <a:ext cx="3243695" cy="486295"/>
        </a:xfrm>
        <a:prstGeom prst="rect">
          <a:avLst/>
        </a:prstGeom>
      </xdr:spPr>
    </xdr:pic>
    <xdr:clientData/>
  </xdr:twoCellAnchor>
  <xdr:twoCellAnchor editAs="oneCell">
    <xdr:from>
      <xdr:col>3</xdr:col>
      <xdr:colOff>657226</xdr:colOff>
      <xdr:row>8</xdr:row>
      <xdr:rowOff>152400</xdr:rowOff>
    </xdr:from>
    <xdr:to>
      <xdr:col>11</xdr:col>
      <xdr:colOff>558641</xdr:colOff>
      <xdr:row>22</xdr:row>
      <xdr:rowOff>0</xdr:rowOff>
    </xdr:to>
    <xdr:pic>
      <xdr:nvPicPr>
        <xdr:cNvPr id="4" name="Picture 3">
          <a:extLst>
            <a:ext uri="{FF2B5EF4-FFF2-40B4-BE49-F238E27FC236}">
              <a16:creationId xmlns:a16="http://schemas.microsoft.com/office/drawing/2014/main" xmlns="" id="{30590373-14B5-45A7-82D9-18191131CB78}"/>
            </a:ext>
          </a:extLst>
        </xdr:cNvPr>
        <xdr:cNvPicPr>
          <a:picLocks noChangeAspect="1"/>
        </xdr:cNvPicPr>
      </xdr:nvPicPr>
      <xdr:blipFill>
        <a:blip xmlns:r="http://schemas.openxmlformats.org/officeDocument/2006/relationships" r:embed="rId3"/>
        <a:stretch>
          <a:fillRect/>
        </a:stretch>
      </xdr:blipFill>
      <xdr:spPr>
        <a:xfrm>
          <a:off x="2562226" y="2905125"/>
          <a:ext cx="6283165" cy="2514600"/>
        </a:xfrm>
        <a:prstGeom prst="rect">
          <a:avLst/>
        </a:prstGeom>
      </xdr:spPr>
    </xdr:pic>
    <xdr:clientData/>
  </xdr:twoCellAnchor>
  <xdr:twoCellAnchor editAs="oneCell">
    <xdr:from>
      <xdr:col>1</xdr:col>
      <xdr:colOff>0</xdr:colOff>
      <xdr:row>1</xdr:row>
      <xdr:rowOff>0</xdr:rowOff>
    </xdr:from>
    <xdr:to>
      <xdr:col>13</xdr:col>
      <xdr:colOff>21901</xdr:colOff>
      <xdr:row>1</xdr:row>
      <xdr:rowOff>1295400</xdr:rowOff>
    </xdr:to>
    <xdr:pic>
      <xdr:nvPicPr>
        <xdr:cNvPr id="5" name="Picture 4">
          <a:extLst>
            <a:ext uri="{FF2B5EF4-FFF2-40B4-BE49-F238E27FC236}">
              <a16:creationId xmlns:a16="http://schemas.microsoft.com/office/drawing/2014/main" xmlns="" id="{F983ECF6-0DED-4BA2-85EB-21B8C99E05F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09550" y="190500"/>
          <a:ext cx="10566076" cy="1295400"/>
        </a:xfrm>
        <a:prstGeom prst="rect">
          <a:avLst/>
        </a:prstGeom>
      </xdr:spPr>
    </xdr:pic>
    <xdr:clientData/>
  </xdr:twoCellAnchor>
  <xdr:twoCellAnchor editAs="oneCell">
    <xdr:from>
      <xdr:col>3</xdr:col>
      <xdr:colOff>676275</xdr:colOff>
      <xdr:row>51</xdr:row>
      <xdr:rowOff>0</xdr:rowOff>
    </xdr:from>
    <xdr:to>
      <xdr:col>11</xdr:col>
      <xdr:colOff>84476</xdr:colOff>
      <xdr:row>63</xdr:row>
      <xdr:rowOff>0</xdr:rowOff>
    </xdr:to>
    <xdr:pic>
      <xdr:nvPicPr>
        <xdr:cNvPr id="6" name="Picture 5">
          <a:extLst>
            <a:ext uri="{FF2B5EF4-FFF2-40B4-BE49-F238E27FC236}">
              <a16:creationId xmlns:a16="http://schemas.microsoft.com/office/drawing/2014/main" xmlns="" id="{D51EF062-A5BD-4C5C-9D2E-AF5CC4F23425}"/>
            </a:ext>
          </a:extLst>
        </xdr:cNvPr>
        <xdr:cNvPicPr>
          <a:picLocks noChangeAspect="1"/>
        </xdr:cNvPicPr>
      </xdr:nvPicPr>
      <xdr:blipFill>
        <a:blip xmlns:r="http://schemas.openxmlformats.org/officeDocument/2006/relationships" r:embed="rId5"/>
        <a:stretch>
          <a:fillRect/>
        </a:stretch>
      </xdr:blipFill>
      <xdr:spPr>
        <a:xfrm>
          <a:off x="2581275" y="10944225"/>
          <a:ext cx="5789951" cy="2286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9525</xdr:colOff>
      <xdr:row>8</xdr:row>
      <xdr:rowOff>152400</xdr:rowOff>
    </xdr:from>
    <xdr:to>
      <xdr:col>10</xdr:col>
      <xdr:colOff>260086</xdr:colOff>
      <xdr:row>22</xdr:row>
      <xdr:rowOff>0</xdr:rowOff>
    </xdr:to>
    <xdr:pic>
      <xdr:nvPicPr>
        <xdr:cNvPr id="3" name="Picture 2">
          <a:extLst>
            <a:ext uri="{FF2B5EF4-FFF2-40B4-BE49-F238E27FC236}">
              <a16:creationId xmlns:a16="http://schemas.microsoft.com/office/drawing/2014/main" xmlns="" id="{00000000-0008-0000-0200-000003000000}"/>
            </a:ext>
          </a:extLst>
        </xdr:cNvPr>
        <xdr:cNvPicPr>
          <a:picLocks noChangeAspect="1"/>
        </xdr:cNvPicPr>
      </xdr:nvPicPr>
      <xdr:blipFill>
        <a:blip xmlns:r="http://schemas.openxmlformats.org/officeDocument/2006/relationships" r:embed="rId1"/>
        <a:stretch>
          <a:fillRect/>
        </a:stretch>
      </xdr:blipFill>
      <xdr:spPr>
        <a:xfrm>
          <a:off x="3476625" y="2905125"/>
          <a:ext cx="4155811" cy="2514600"/>
        </a:xfrm>
        <a:prstGeom prst="rect">
          <a:avLst/>
        </a:prstGeom>
      </xdr:spPr>
    </xdr:pic>
    <xdr:clientData/>
  </xdr:twoCellAnchor>
  <xdr:twoCellAnchor editAs="oneCell">
    <xdr:from>
      <xdr:col>2</xdr:col>
      <xdr:colOff>15247</xdr:colOff>
      <xdr:row>81</xdr:row>
      <xdr:rowOff>68587</xdr:rowOff>
    </xdr:from>
    <xdr:to>
      <xdr:col>7</xdr:col>
      <xdr:colOff>11091</xdr:colOff>
      <xdr:row>83</xdr:row>
      <xdr:rowOff>92486</xdr:rowOff>
    </xdr:to>
    <xdr:pic>
      <xdr:nvPicPr>
        <xdr:cNvPr id="4" name="Picture 3">
          <a:extLst>
            <a:ext uri="{FF2B5EF4-FFF2-40B4-BE49-F238E27FC236}">
              <a16:creationId xmlns:a16="http://schemas.microsoft.com/office/drawing/2014/main" xmlns="" id="{00000000-0008-0000-02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65867" y="14066527"/>
          <a:ext cx="3996344" cy="389659"/>
        </a:xfrm>
        <a:prstGeom prst="rect">
          <a:avLst/>
        </a:prstGeom>
      </xdr:spPr>
    </xdr:pic>
    <xdr:clientData/>
  </xdr:twoCellAnchor>
  <xdr:twoCellAnchor editAs="oneCell">
    <xdr:from>
      <xdr:col>2</xdr:col>
      <xdr:colOff>15241</xdr:colOff>
      <xdr:row>114</xdr:row>
      <xdr:rowOff>38101</xdr:rowOff>
    </xdr:from>
    <xdr:to>
      <xdr:col>6</xdr:col>
      <xdr:colOff>134736</xdr:colOff>
      <xdr:row>116</xdr:row>
      <xdr:rowOff>158636</xdr:rowOff>
    </xdr:to>
    <xdr:pic>
      <xdr:nvPicPr>
        <xdr:cNvPr id="6" name="Picture 5">
          <a:extLst>
            <a:ext uri="{FF2B5EF4-FFF2-40B4-BE49-F238E27FC236}">
              <a16:creationId xmlns:a16="http://schemas.microsoft.com/office/drawing/2014/main" xmlns="" id="{00000000-0008-0000-02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65861" y="20193001"/>
          <a:ext cx="3319895" cy="486295"/>
        </a:xfrm>
        <a:prstGeom prst="rect">
          <a:avLst/>
        </a:prstGeom>
      </xdr:spPr>
    </xdr:pic>
    <xdr:clientData/>
  </xdr:twoCellAnchor>
  <xdr:twoCellAnchor editAs="oneCell">
    <xdr:from>
      <xdr:col>1</xdr:col>
      <xdr:colOff>0</xdr:colOff>
      <xdr:row>1</xdr:row>
      <xdr:rowOff>0</xdr:rowOff>
    </xdr:from>
    <xdr:to>
      <xdr:col>13</xdr:col>
      <xdr:colOff>21901</xdr:colOff>
      <xdr:row>1</xdr:row>
      <xdr:rowOff>1295400</xdr:rowOff>
    </xdr:to>
    <xdr:pic>
      <xdr:nvPicPr>
        <xdr:cNvPr id="8" name="Picture 7">
          <a:extLst>
            <a:ext uri="{FF2B5EF4-FFF2-40B4-BE49-F238E27FC236}">
              <a16:creationId xmlns:a16="http://schemas.microsoft.com/office/drawing/2014/main" xmlns="" id="{00000000-0008-0000-0200-00000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09550" y="190500"/>
          <a:ext cx="10566076" cy="1295400"/>
        </a:xfrm>
        <a:prstGeom prst="rect">
          <a:avLst/>
        </a:prstGeom>
      </xdr:spPr>
    </xdr:pic>
    <xdr:clientData/>
  </xdr:twoCellAnchor>
  <xdr:twoCellAnchor editAs="oneCell">
    <xdr:from>
      <xdr:col>5</xdr:col>
      <xdr:colOff>14982</xdr:colOff>
      <xdr:row>45</xdr:row>
      <xdr:rowOff>187324</xdr:rowOff>
    </xdr:from>
    <xdr:to>
      <xdr:col>9</xdr:col>
      <xdr:colOff>241495</xdr:colOff>
      <xdr:row>58</xdr:row>
      <xdr:rowOff>3174</xdr:rowOff>
    </xdr:to>
    <xdr:pic>
      <xdr:nvPicPr>
        <xdr:cNvPr id="9" name="Picture 8">
          <a:extLst>
            <a:ext uri="{FF2B5EF4-FFF2-40B4-BE49-F238E27FC236}">
              <a16:creationId xmlns:a16="http://schemas.microsoft.com/office/drawing/2014/main" xmlns="" id="{00000000-0008-0000-0200-000009000000}"/>
            </a:ext>
          </a:extLst>
        </xdr:cNvPr>
        <xdr:cNvPicPr>
          <a:picLocks noChangeAspect="1"/>
        </xdr:cNvPicPr>
      </xdr:nvPicPr>
      <xdr:blipFill>
        <a:blip xmlns:r="http://schemas.openxmlformats.org/officeDocument/2006/relationships" r:embed="rId5"/>
        <a:stretch>
          <a:fillRect/>
        </a:stretch>
      </xdr:blipFill>
      <xdr:spPr>
        <a:xfrm>
          <a:off x="3482082" y="9988549"/>
          <a:ext cx="3350713" cy="2286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45720</xdr:colOff>
      <xdr:row>89</xdr:row>
      <xdr:rowOff>114301</xdr:rowOff>
    </xdr:from>
    <xdr:to>
      <xdr:col>7</xdr:col>
      <xdr:colOff>41564</xdr:colOff>
      <xdr:row>91</xdr:row>
      <xdr:rowOff>122960</xdr:rowOff>
    </xdr:to>
    <xdr:pic>
      <xdr:nvPicPr>
        <xdr:cNvPr id="4" name="Picture 3">
          <a:extLst>
            <a:ext uri="{FF2B5EF4-FFF2-40B4-BE49-F238E27FC236}">
              <a16:creationId xmlns:a16="http://schemas.microsoft.com/office/drawing/2014/main" xmlns=""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6340" y="15605761"/>
          <a:ext cx="3996344" cy="389659"/>
        </a:xfrm>
        <a:prstGeom prst="rect">
          <a:avLst/>
        </a:prstGeom>
      </xdr:spPr>
    </xdr:pic>
    <xdr:clientData/>
  </xdr:twoCellAnchor>
  <xdr:twoCellAnchor editAs="oneCell">
    <xdr:from>
      <xdr:col>2</xdr:col>
      <xdr:colOff>7621</xdr:colOff>
      <xdr:row>127</xdr:row>
      <xdr:rowOff>68581</xdr:rowOff>
    </xdr:from>
    <xdr:to>
      <xdr:col>6</xdr:col>
      <xdr:colOff>127116</xdr:colOff>
      <xdr:row>129</xdr:row>
      <xdr:rowOff>173876</xdr:rowOff>
    </xdr:to>
    <xdr:pic>
      <xdr:nvPicPr>
        <xdr:cNvPr id="8" name="Picture 7">
          <a:extLst>
            <a:ext uri="{FF2B5EF4-FFF2-40B4-BE49-F238E27FC236}">
              <a16:creationId xmlns:a16="http://schemas.microsoft.com/office/drawing/2014/main" xmlns="" id="{00000000-0008-0000-03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58241" y="22997161"/>
          <a:ext cx="3319895" cy="486295"/>
        </a:xfrm>
        <a:prstGeom prst="rect">
          <a:avLst/>
        </a:prstGeom>
      </xdr:spPr>
    </xdr:pic>
    <xdr:clientData/>
  </xdr:twoCellAnchor>
  <xdr:twoCellAnchor editAs="oneCell">
    <xdr:from>
      <xdr:col>3</xdr:col>
      <xdr:colOff>657226</xdr:colOff>
      <xdr:row>8</xdr:row>
      <xdr:rowOff>152400</xdr:rowOff>
    </xdr:from>
    <xdr:to>
      <xdr:col>11</xdr:col>
      <xdr:colOff>558641</xdr:colOff>
      <xdr:row>22</xdr:row>
      <xdr:rowOff>0</xdr:rowOff>
    </xdr:to>
    <xdr:pic>
      <xdr:nvPicPr>
        <xdr:cNvPr id="2" name="Picture 1">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3"/>
        <a:stretch>
          <a:fillRect/>
        </a:stretch>
      </xdr:blipFill>
      <xdr:spPr>
        <a:xfrm>
          <a:off x="2562226" y="2905125"/>
          <a:ext cx="6283165" cy="2514600"/>
        </a:xfrm>
        <a:prstGeom prst="rect">
          <a:avLst/>
        </a:prstGeom>
      </xdr:spPr>
    </xdr:pic>
    <xdr:clientData/>
  </xdr:twoCellAnchor>
  <xdr:twoCellAnchor editAs="oneCell">
    <xdr:from>
      <xdr:col>1</xdr:col>
      <xdr:colOff>0</xdr:colOff>
      <xdr:row>1</xdr:row>
      <xdr:rowOff>0</xdr:rowOff>
    </xdr:from>
    <xdr:to>
      <xdr:col>13</xdr:col>
      <xdr:colOff>21901</xdr:colOff>
      <xdr:row>1</xdr:row>
      <xdr:rowOff>1295400</xdr:rowOff>
    </xdr:to>
    <xdr:pic>
      <xdr:nvPicPr>
        <xdr:cNvPr id="7" name="Picture 6">
          <a:extLst>
            <a:ext uri="{FF2B5EF4-FFF2-40B4-BE49-F238E27FC236}">
              <a16:creationId xmlns:a16="http://schemas.microsoft.com/office/drawing/2014/main" xmlns="" id="{00000000-0008-0000-0300-00000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09550" y="190500"/>
          <a:ext cx="10566076" cy="1295400"/>
        </a:xfrm>
        <a:prstGeom prst="rect">
          <a:avLst/>
        </a:prstGeom>
      </xdr:spPr>
    </xdr:pic>
    <xdr:clientData/>
  </xdr:twoCellAnchor>
  <xdr:twoCellAnchor editAs="oneCell">
    <xdr:from>
      <xdr:col>3</xdr:col>
      <xdr:colOff>676275</xdr:colOff>
      <xdr:row>51</xdr:row>
      <xdr:rowOff>0</xdr:rowOff>
    </xdr:from>
    <xdr:to>
      <xdr:col>11</xdr:col>
      <xdr:colOff>84476</xdr:colOff>
      <xdr:row>63</xdr:row>
      <xdr:rowOff>0</xdr:rowOff>
    </xdr:to>
    <xdr:pic>
      <xdr:nvPicPr>
        <xdr:cNvPr id="3" name="Picture 2">
          <a:extLst>
            <a:ext uri="{FF2B5EF4-FFF2-40B4-BE49-F238E27FC236}">
              <a16:creationId xmlns:a16="http://schemas.microsoft.com/office/drawing/2014/main" xmlns="" id="{00000000-0008-0000-0300-000003000000}"/>
            </a:ext>
          </a:extLst>
        </xdr:cNvPr>
        <xdr:cNvPicPr>
          <a:picLocks noChangeAspect="1"/>
        </xdr:cNvPicPr>
      </xdr:nvPicPr>
      <xdr:blipFill>
        <a:blip xmlns:r="http://schemas.openxmlformats.org/officeDocument/2006/relationships" r:embed="rId5"/>
        <a:stretch>
          <a:fillRect/>
        </a:stretch>
      </xdr:blipFill>
      <xdr:spPr>
        <a:xfrm>
          <a:off x="2581275" y="10944225"/>
          <a:ext cx="5789951" cy="2286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30480</xdr:colOff>
      <xdr:row>99</xdr:row>
      <xdr:rowOff>91441</xdr:rowOff>
    </xdr:from>
    <xdr:to>
      <xdr:col>7</xdr:col>
      <xdr:colOff>26324</xdr:colOff>
      <xdr:row>101</xdr:row>
      <xdr:rowOff>115340</xdr:rowOff>
    </xdr:to>
    <xdr:pic>
      <xdr:nvPicPr>
        <xdr:cNvPr id="2" name="Picture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3940" y="17365981"/>
          <a:ext cx="3996344" cy="389659"/>
        </a:xfrm>
        <a:prstGeom prst="rect">
          <a:avLst/>
        </a:prstGeom>
      </xdr:spPr>
    </xdr:pic>
    <xdr:clientData/>
  </xdr:twoCellAnchor>
  <xdr:twoCellAnchor editAs="oneCell">
    <xdr:from>
      <xdr:col>1</xdr:col>
      <xdr:colOff>792481</xdr:colOff>
      <xdr:row>142</xdr:row>
      <xdr:rowOff>45721</xdr:rowOff>
    </xdr:from>
    <xdr:to>
      <xdr:col>6</xdr:col>
      <xdr:colOff>111876</xdr:colOff>
      <xdr:row>144</xdr:row>
      <xdr:rowOff>166256</xdr:rowOff>
    </xdr:to>
    <xdr:pic>
      <xdr:nvPicPr>
        <xdr:cNvPr id="3" name="Picture 2">
          <a:extLst>
            <a:ext uri="{FF2B5EF4-FFF2-40B4-BE49-F238E27FC236}">
              <a16:creationId xmlns:a16="http://schemas.microsoft.com/office/drawing/2014/main" xmlns=""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5841" y="25351741"/>
          <a:ext cx="3319895" cy="486295"/>
        </a:xfrm>
        <a:prstGeom prst="rect">
          <a:avLst/>
        </a:prstGeom>
      </xdr:spPr>
    </xdr:pic>
    <xdr:clientData/>
  </xdr:twoCellAnchor>
  <xdr:twoCellAnchor editAs="oneCell">
    <xdr:from>
      <xdr:col>2</xdr:col>
      <xdr:colOff>457200</xdr:colOff>
      <xdr:row>8</xdr:row>
      <xdr:rowOff>152400</xdr:rowOff>
    </xdr:from>
    <xdr:to>
      <xdr:col>13</xdr:col>
      <xdr:colOff>77552</xdr:colOff>
      <xdr:row>22</xdr:row>
      <xdr:rowOff>0</xdr:rowOff>
    </xdr:to>
    <xdr:pic>
      <xdr:nvPicPr>
        <xdr:cNvPr id="4" name="Picture 3">
          <a:extLst>
            <a:ext uri="{FF2B5EF4-FFF2-40B4-BE49-F238E27FC236}">
              <a16:creationId xmlns:a16="http://schemas.microsoft.com/office/drawing/2014/main" xmlns="" id="{00000000-0008-0000-0400-000004000000}"/>
            </a:ext>
          </a:extLst>
        </xdr:cNvPr>
        <xdr:cNvPicPr>
          <a:picLocks noChangeAspect="1"/>
        </xdr:cNvPicPr>
      </xdr:nvPicPr>
      <xdr:blipFill>
        <a:blip xmlns:r="http://schemas.openxmlformats.org/officeDocument/2006/relationships" r:embed="rId3"/>
        <a:stretch>
          <a:fillRect/>
        </a:stretch>
      </xdr:blipFill>
      <xdr:spPr>
        <a:xfrm>
          <a:off x="1447800" y="2905125"/>
          <a:ext cx="8545277" cy="2514600"/>
        </a:xfrm>
        <a:prstGeom prst="rect">
          <a:avLst/>
        </a:prstGeom>
      </xdr:spPr>
    </xdr:pic>
    <xdr:clientData/>
  </xdr:twoCellAnchor>
  <xdr:twoCellAnchor editAs="oneCell">
    <xdr:from>
      <xdr:col>1</xdr:col>
      <xdr:colOff>0</xdr:colOff>
      <xdr:row>1</xdr:row>
      <xdr:rowOff>0</xdr:rowOff>
    </xdr:from>
    <xdr:to>
      <xdr:col>14</xdr:col>
      <xdr:colOff>31426</xdr:colOff>
      <xdr:row>1</xdr:row>
      <xdr:rowOff>1295400</xdr:rowOff>
    </xdr:to>
    <xdr:pic>
      <xdr:nvPicPr>
        <xdr:cNvPr id="6" name="Picture 5">
          <a:extLst>
            <a:ext uri="{FF2B5EF4-FFF2-40B4-BE49-F238E27FC236}">
              <a16:creationId xmlns:a16="http://schemas.microsoft.com/office/drawing/2014/main" xmlns="" id="{00000000-0008-0000-04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09550" y="190500"/>
          <a:ext cx="10566076" cy="1295400"/>
        </a:xfrm>
        <a:prstGeom prst="rect">
          <a:avLst/>
        </a:prstGeom>
      </xdr:spPr>
    </xdr:pic>
    <xdr:clientData/>
  </xdr:twoCellAnchor>
  <xdr:twoCellAnchor editAs="oneCell">
    <xdr:from>
      <xdr:col>2</xdr:col>
      <xdr:colOff>485775</xdr:colOff>
      <xdr:row>59</xdr:row>
      <xdr:rowOff>0</xdr:rowOff>
    </xdr:from>
    <xdr:to>
      <xdr:col>12</xdr:col>
      <xdr:colOff>568045</xdr:colOff>
      <xdr:row>71</xdr:row>
      <xdr:rowOff>0</xdr:rowOff>
    </xdr:to>
    <xdr:pic>
      <xdr:nvPicPr>
        <xdr:cNvPr id="7" name="Picture 6">
          <a:extLst>
            <a:ext uri="{FF2B5EF4-FFF2-40B4-BE49-F238E27FC236}">
              <a16:creationId xmlns:a16="http://schemas.microsoft.com/office/drawing/2014/main" xmlns="" id="{00000000-0008-0000-0400-000007000000}"/>
            </a:ext>
          </a:extLst>
        </xdr:cNvPr>
        <xdr:cNvPicPr>
          <a:picLocks noChangeAspect="1"/>
        </xdr:cNvPicPr>
      </xdr:nvPicPr>
      <xdr:blipFill>
        <a:blip xmlns:r="http://schemas.openxmlformats.org/officeDocument/2006/relationships" r:embed="rId5"/>
        <a:stretch>
          <a:fillRect/>
        </a:stretch>
      </xdr:blipFill>
      <xdr:spPr>
        <a:xfrm>
          <a:off x="1476375" y="12468225"/>
          <a:ext cx="8026120" cy="2286000"/>
        </a:xfrm>
        <a:prstGeom prst="rect">
          <a:avLst/>
        </a:prstGeom>
      </xdr:spPr>
    </xdr:pic>
    <xdr:clientData/>
  </xdr:twoCellAnchor>
</xdr:wsDr>
</file>

<file path=xl/tables/table1.xml><?xml version="1.0" encoding="utf-8"?>
<table xmlns="http://schemas.openxmlformats.org/spreadsheetml/2006/main" id="8" name="Sheathing" displayName="Sheathing" ref="A1:A4" totalsRowShown="0" headerRowDxfId="20" dataDxfId="19">
  <autoFilter ref="A1:A4"/>
  <tableColumns count="1">
    <tableColumn id="1" name="Sheathing Material" dataDxfId="18"/>
  </tableColumns>
  <tableStyleInfo name="TableStyleLight1" showFirstColumn="0" showLastColumn="0" showRowStripes="1" showColumnStripes="0"/>
</table>
</file>

<file path=xl/tables/table2.xml><?xml version="1.0" encoding="utf-8"?>
<table xmlns="http://schemas.openxmlformats.org/spreadsheetml/2006/main" id="11" name="Table11" displayName="Table11" ref="A10:C26" totalsRowShown="0">
  <autoFilter ref="A10:C26"/>
  <tableColumns count="3">
    <tableColumn id="1" name="Sheathing" dataDxfId="17"/>
    <tableColumn id="2" name="Column2" dataDxfId="16"/>
    <tableColumn id="3" name="Gt value"/>
  </tableColumns>
  <tableStyleInfo name="TableStyleLight1" showFirstColumn="0" showLastColumn="0" showRowStripes="1" showColumnStripes="0"/>
</table>
</file>

<file path=xl/tables/table3.xml><?xml version="1.0" encoding="utf-8"?>
<table xmlns="http://schemas.openxmlformats.org/spreadsheetml/2006/main" id="12" name="Table1113" displayName="Table1113" ref="A29:C157" totalsRowShown="0">
  <autoFilter ref="A29:C157"/>
  <tableColumns count="3">
    <tableColumn id="1" name="Sheathing and Nailing" dataDxfId="15"/>
    <tableColumn id="2" name="Column2" dataDxfId="14"/>
    <tableColumn id="3" name="Ga value"/>
  </tableColumns>
  <tableStyleInfo name="TableStyleLight1" showFirstColumn="0" showLastColumn="0" showRowStripes="1" showColumnStripes="0"/>
</table>
</file>

<file path=xl/tables/table4.xml><?xml version="1.0" encoding="utf-8"?>
<table xmlns="http://schemas.openxmlformats.org/spreadsheetml/2006/main" id="2" name="Table2" displayName="Table2" ref="H1:I7" totalsRowShown="0" headerRowDxfId="13" dataDxfId="12">
  <autoFilter ref="H1:I7"/>
  <tableColumns count="2">
    <tableColumn id="1" name="Nominal Stud Size" dataDxfId="11"/>
    <tableColumn id="2" name="Area" dataDxfId="10"/>
  </tableColumns>
  <tableStyleInfo name="TableStyleLight1" showFirstColumn="0" showLastColumn="0" showRowStripes="1" showColumnStripes="0"/>
</table>
</file>

<file path=xl/tables/table5.xml><?xml version="1.0" encoding="utf-8"?>
<table xmlns="http://schemas.openxmlformats.org/spreadsheetml/2006/main" id="4" name="Grades" displayName="Grades" ref="E1:E3" totalsRowShown="0" headerRowDxfId="9">
  <autoFilter ref="E1:E3"/>
  <tableColumns count="1">
    <tableColumn id="1" name="Grade"/>
  </tableColumns>
  <tableStyleInfo name="TableStyleLight1" showFirstColumn="0" showLastColumn="0" showRowStripes="1" showColumnStripes="0"/>
</table>
</file>

<file path=xl/tables/table6.xml><?xml version="1.0" encoding="utf-8"?>
<table xmlns="http://schemas.openxmlformats.org/spreadsheetml/2006/main" id="1" name="OSB" displayName="OSB" ref="B1:B5" totalsRowShown="0" headerRowDxfId="8" dataDxfId="7">
  <autoFilter ref="B1:B5"/>
  <tableColumns count="1">
    <tableColumn id="1" name="OSB" dataDxfId="6"/>
  </tableColumns>
  <tableStyleInfo name="TableStyleLight1" showFirstColumn="0" showLastColumn="0" showRowStripes="1" showColumnStripes="0"/>
</table>
</file>

<file path=xl/tables/table7.xml><?xml version="1.0" encoding="utf-8"?>
<table xmlns="http://schemas.openxmlformats.org/spreadsheetml/2006/main" id="3" name="Plywood" displayName="Plywood" ref="C1:C4" totalsRowShown="0" headerRowDxfId="5" dataDxfId="4">
  <autoFilter ref="C1:C4"/>
  <tableColumns count="1">
    <tableColumn id="1" name="Plywood" dataDxfId="3"/>
  </tableColumns>
  <tableStyleInfo name="TableStyleLight1" showFirstColumn="0" showLastColumn="0" showRowStripes="1" showColumnStripes="0"/>
</table>
</file>

<file path=xl/tables/table8.xml><?xml version="1.0" encoding="utf-8"?>
<table xmlns="http://schemas.openxmlformats.org/spreadsheetml/2006/main" id="5" name="Material" displayName="Material" ref="D1:D2" totalsRowShown="0">
  <autoFilter ref="D1:D2"/>
  <tableColumns count="1">
    <tableColumn id="1" name="Column1"/>
  </tableColumns>
  <tableStyleInfo name="TableStyleLight1" showFirstColumn="0" showLastColumn="0" showRowStripes="1" showColumnStripes="0"/>
</table>
</file>

<file path=xl/tables/table9.xml><?xml version="1.0" encoding="utf-8"?>
<table xmlns="http://schemas.openxmlformats.org/spreadsheetml/2006/main" id="6" name="Table6" displayName="Table6" ref="E9:E11" totalsRowShown="0" headerRowDxfId="2" dataDxfId="1">
  <autoFilter ref="E9:E11"/>
  <tableColumns count="1">
    <tableColumn id="1" name="ARAF"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vmlDrawing" Target="../drawings/vmlDrawing4.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omments" Target="../comments3.xml"/><Relationship Id="rId4" Type="http://schemas.openxmlformats.org/officeDocument/2006/relationships/vmlDrawing" Target="../drawings/vmlDrawing6.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4.xml"/><Relationship Id="rId4" Type="http://schemas.openxmlformats.org/officeDocument/2006/relationships/vmlDrawing" Target="../drawings/vmlDrawing8.vml"/></Relationships>
</file>

<file path=xl/worksheets/_rels/sheet6.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6.bin"/><Relationship Id="rId6" Type="http://schemas.openxmlformats.org/officeDocument/2006/relationships/table" Target="../tables/table5.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91"/>
  <sheetViews>
    <sheetView showGridLines="0" showRowColHeaders="0" tabSelected="1" zoomScaleNormal="100" workbookViewId="0">
      <selection activeCell="B3" sqref="B3:C3"/>
    </sheetView>
  </sheetViews>
  <sheetFormatPr defaultRowHeight="15" x14ac:dyDescent="0.25"/>
  <cols>
    <col min="1" max="1" width="3.140625" customWidth="1"/>
    <col min="2" max="2" width="18.140625" customWidth="1"/>
    <col min="3" max="3" width="142.28515625" customWidth="1"/>
    <col min="4" max="4" width="109.140625" customWidth="1"/>
    <col min="12" max="12" width="60" customWidth="1"/>
    <col min="13" max="13" width="169.5703125" customWidth="1"/>
  </cols>
  <sheetData>
    <row r="1" spans="1:12" x14ac:dyDescent="0.25">
      <c r="A1" s="236"/>
      <c r="B1" s="236"/>
      <c r="C1" s="236"/>
      <c r="D1" s="236"/>
    </row>
    <row r="2" spans="1:12" ht="111.75" customHeight="1" x14ac:dyDescent="0.25">
      <c r="A2" s="236"/>
      <c r="B2" s="249"/>
      <c r="C2" s="249"/>
      <c r="D2" s="236"/>
      <c r="E2" s="22"/>
      <c r="F2" s="22"/>
      <c r="G2" s="22"/>
      <c r="H2" s="22"/>
      <c r="I2" s="22"/>
      <c r="J2" s="22"/>
      <c r="K2" s="22"/>
      <c r="L2" s="22"/>
    </row>
    <row r="3" spans="1:12" ht="15.75" thickBot="1" x14ac:dyDescent="0.3">
      <c r="A3" s="236"/>
      <c r="B3" s="239" t="s">
        <v>351</v>
      </c>
      <c r="C3" s="239"/>
      <c r="D3" s="236"/>
      <c r="E3" s="159"/>
      <c r="F3" s="159"/>
      <c r="G3" s="159"/>
      <c r="H3" s="159"/>
      <c r="I3" s="159"/>
      <c r="J3" s="159"/>
      <c r="K3" s="159"/>
      <c r="L3" s="159"/>
    </row>
    <row r="4" spans="1:12" ht="46.5" customHeight="1" x14ac:dyDescent="0.25">
      <c r="A4" s="236"/>
      <c r="B4" s="242" t="s">
        <v>425</v>
      </c>
      <c r="C4" s="242"/>
      <c r="D4" s="236"/>
      <c r="E4" s="170"/>
      <c r="F4" s="170"/>
      <c r="G4" s="170"/>
      <c r="H4" s="170"/>
      <c r="I4" s="170"/>
      <c r="J4" s="170"/>
      <c r="K4" s="170"/>
      <c r="L4" s="170"/>
    </row>
    <row r="5" spans="1:12" ht="15" customHeight="1" x14ac:dyDescent="0.25">
      <c r="A5" s="236"/>
      <c r="B5" s="243"/>
      <c r="C5" s="243"/>
      <c r="D5" s="236"/>
      <c r="E5" s="170"/>
      <c r="F5" s="170"/>
      <c r="G5" s="170"/>
      <c r="H5" s="170"/>
      <c r="I5" s="170"/>
      <c r="J5" s="170"/>
      <c r="K5" s="170"/>
      <c r="L5" s="170"/>
    </row>
    <row r="6" spans="1:12" ht="32.25" customHeight="1" x14ac:dyDescent="0.25">
      <c r="A6" s="236"/>
      <c r="B6" s="238" t="s">
        <v>426</v>
      </c>
      <c r="C6" s="238"/>
      <c r="D6" s="236"/>
      <c r="E6" s="170"/>
      <c r="F6" s="170"/>
      <c r="G6" s="170"/>
      <c r="H6" s="170"/>
      <c r="I6" s="170"/>
      <c r="J6" s="170"/>
      <c r="K6" s="170"/>
      <c r="L6" s="170"/>
    </row>
    <row r="7" spans="1:12" ht="16.5" customHeight="1" x14ac:dyDescent="0.25">
      <c r="A7" s="236"/>
      <c r="B7" s="244"/>
      <c r="C7" s="244"/>
      <c r="D7" s="236"/>
      <c r="E7" s="170"/>
      <c r="F7" s="170"/>
      <c r="G7" s="170"/>
      <c r="H7" s="170"/>
      <c r="I7" s="170"/>
      <c r="J7" s="170"/>
      <c r="K7" s="170"/>
      <c r="L7" s="170"/>
    </row>
    <row r="8" spans="1:12" ht="15.75" thickBot="1" x14ac:dyDescent="0.3">
      <c r="A8" s="236"/>
      <c r="B8" s="239" t="s">
        <v>373</v>
      </c>
      <c r="C8" s="239"/>
      <c r="D8" s="236"/>
      <c r="E8" s="159"/>
      <c r="F8" s="159"/>
      <c r="G8" s="159"/>
      <c r="H8" s="159"/>
      <c r="I8" s="159"/>
      <c r="J8" s="159"/>
      <c r="K8" s="159"/>
      <c r="L8" s="159"/>
    </row>
    <row r="9" spans="1:12" x14ac:dyDescent="0.25">
      <c r="A9" s="236"/>
      <c r="B9" s="148" t="s">
        <v>64</v>
      </c>
      <c r="C9" s="183" t="s">
        <v>374</v>
      </c>
      <c r="D9" s="236"/>
      <c r="E9" s="171"/>
      <c r="F9" s="171"/>
      <c r="G9" s="171"/>
      <c r="H9" s="171"/>
      <c r="I9" s="171"/>
      <c r="J9" s="171"/>
      <c r="K9" s="171"/>
      <c r="L9" s="171"/>
    </row>
    <row r="10" spans="1:12" x14ac:dyDescent="0.25">
      <c r="A10" s="236"/>
      <c r="B10" s="181" t="s">
        <v>382</v>
      </c>
      <c r="C10" s="184" t="s">
        <v>375</v>
      </c>
      <c r="D10" s="236"/>
      <c r="E10" s="3"/>
      <c r="F10" s="3"/>
      <c r="G10" s="3"/>
      <c r="H10" s="3"/>
      <c r="I10" s="3"/>
      <c r="J10" s="3"/>
      <c r="K10" s="3"/>
      <c r="L10" s="3"/>
    </row>
    <row r="11" spans="1:12" x14ac:dyDescent="0.25">
      <c r="A11" s="236"/>
      <c r="B11" s="181" t="s">
        <v>383</v>
      </c>
      <c r="C11" s="184" t="s">
        <v>376</v>
      </c>
      <c r="D11" s="236"/>
      <c r="E11" s="3"/>
      <c r="F11" s="3"/>
      <c r="G11" s="3"/>
      <c r="H11" s="3"/>
      <c r="I11" s="3"/>
      <c r="J11" s="3"/>
      <c r="K11" s="3"/>
      <c r="L11" s="3"/>
    </row>
    <row r="12" spans="1:12" x14ac:dyDescent="0.25">
      <c r="A12" s="236"/>
      <c r="B12" s="181" t="s">
        <v>118</v>
      </c>
      <c r="C12" s="184" t="s">
        <v>377</v>
      </c>
      <c r="D12" s="236"/>
      <c r="E12" s="3"/>
      <c r="F12" s="3"/>
      <c r="G12" s="3"/>
      <c r="H12" s="3"/>
      <c r="I12" s="3"/>
      <c r="J12" s="3"/>
      <c r="K12" s="3"/>
      <c r="L12" s="3"/>
    </row>
    <row r="13" spans="1:12" x14ac:dyDescent="0.25">
      <c r="A13" s="236"/>
      <c r="B13" s="181" t="s">
        <v>117</v>
      </c>
      <c r="C13" s="185" t="s">
        <v>378</v>
      </c>
      <c r="D13" s="236"/>
      <c r="E13" s="3"/>
      <c r="F13" s="3"/>
      <c r="G13" s="3"/>
      <c r="H13" s="3"/>
      <c r="I13" s="3"/>
      <c r="J13" s="3"/>
      <c r="K13" s="3"/>
      <c r="L13" s="3"/>
    </row>
    <row r="14" spans="1:12" ht="15" customHeight="1" x14ac:dyDescent="0.25">
      <c r="A14" s="236"/>
      <c r="B14" s="181" t="s">
        <v>127</v>
      </c>
      <c r="C14" s="185" t="s">
        <v>379</v>
      </c>
      <c r="D14" s="236"/>
      <c r="E14" s="172"/>
      <c r="F14" s="172"/>
      <c r="G14" s="172"/>
      <c r="H14" s="172"/>
      <c r="I14" s="172"/>
      <c r="J14" s="172"/>
      <c r="K14" s="172"/>
      <c r="L14" s="172"/>
    </row>
    <row r="15" spans="1:12" ht="15" customHeight="1" x14ac:dyDescent="0.35">
      <c r="A15" s="236"/>
      <c r="B15" s="148" t="s">
        <v>384</v>
      </c>
      <c r="C15" s="184" t="s">
        <v>380</v>
      </c>
      <c r="D15" s="236"/>
      <c r="E15" s="172"/>
      <c r="F15" s="172"/>
      <c r="G15" s="172"/>
      <c r="H15" s="172"/>
      <c r="I15" s="172"/>
      <c r="J15" s="172"/>
      <c r="K15" s="172"/>
      <c r="L15" s="172"/>
    </row>
    <row r="16" spans="1:12" ht="15" customHeight="1" x14ac:dyDescent="0.35">
      <c r="A16" s="236"/>
      <c r="B16" s="181" t="s">
        <v>385</v>
      </c>
      <c r="C16" s="184" t="s">
        <v>381</v>
      </c>
      <c r="D16" s="236"/>
      <c r="E16" s="172"/>
      <c r="F16" s="172"/>
      <c r="G16" s="172"/>
      <c r="H16" s="172"/>
      <c r="I16" s="172"/>
      <c r="J16" s="172"/>
      <c r="K16" s="172"/>
      <c r="L16" s="172"/>
    </row>
    <row r="17" spans="1:12" ht="15" customHeight="1" x14ac:dyDescent="0.25">
      <c r="A17" s="236"/>
      <c r="B17" s="213" t="s">
        <v>432</v>
      </c>
      <c r="C17" s="184" t="s">
        <v>433</v>
      </c>
      <c r="D17" s="236"/>
      <c r="E17" s="172"/>
      <c r="F17" s="172"/>
      <c r="G17" s="172"/>
      <c r="H17" s="172"/>
      <c r="I17" s="172"/>
      <c r="J17" s="172"/>
      <c r="K17" s="172"/>
      <c r="L17" s="172"/>
    </row>
    <row r="18" spans="1:12" x14ac:dyDescent="0.25">
      <c r="A18" s="236"/>
      <c r="B18" s="3"/>
      <c r="C18" s="3"/>
      <c r="D18" s="236"/>
      <c r="E18" s="53"/>
      <c r="F18" s="53"/>
      <c r="G18" s="53"/>
      <c r="H18" s="53"/>
      <c r="I18" s="53"/>
      <c r="J18" s="53"/>
      <c r="K18" s="53"/>
      <c r="L18" s="53"/>
    </row>
    <row r="19" spans="1:12" ht="15.75" thickBot="1" x14ac:dyDescent="0.3">
      <c r="A19" s="236"/>
      <c r="B19" s="239" t="s">
        <v>419</v>
      </c>
      <c r="C19" s="239"/>
      <c r="D19" s="236"/>
      <c r="E19" s="159"/>
      <c r="F19" s="159"/>
      <c r="G19" s="159"/>
      <c r="H19" s="159"/>
      <c r="I19" s="159"/>
      <c r="J19" s="159"/>
      <c r="K19" s="159"/>
      <c r="L19" s="159"/>
    </row>
    <row r="20" spans="1:12" ht="7.5" customHeight="1" x14ac:dyDescent="0.25">
      <c r="A20" s="236"/>
      <c r="B20" s="159"/>
      <c r="C20" s="159"/>
      <c r="D20" s="236"/>
      <c r="E20" s="159"/>
      <c r="F20" s="159"/>
      <c r="G20" s="159"/>
      <c r="H20" s="159"/>
      <c r="I20" s="159"/>
      <c r="J20" s="159"/>
      <c r="K20" s="159"/>
      <c r="L20" s="159"/>
    </row>
    <row r="21" spans="1:12" ht="15.75" thickBot="1" x14ac:dyDescent="0.3">
      <c r="A21" s="236"/>
      <c r="B21" s="241" t="s">
        <v>146</v>
      </c>
      <c r="C21" s="241"/>
      <c r="D21" s="236"/>
      <c r="E21" s="159"/>
      <c r="F21" s="159"/>
      <c r="G21" s="159"/>
      <c r="H21" s="159"/>
      <c r="I21" s="159"/>
      <c r="J21" s="159"/>
      <c r="K21" s="159"/>
      <c r="L21" s="159"/>
    </row>
    <row r="22" spans="1:12" ht="15.75" thickTop="1" x14ac:dyDescent="0.25">
      <c r="A22" s="236"/>
      <c r="B22" s="219" t="s">
        <v>154</v>
      </c>
      <c r="C22" s="220" t="s">
        <v>402</v>
      </c>
      <c r="D22" s="236"/>
      <c r="E22" s="3"/>
      <c r="F22" s="3"/>
      <c r="G22" s="3"/>
      <c r="H22" s="3"/>
      <c r="I22" s="3"/>
      <c r="J22" s="3"/>
      <c r="K22" s="3"/>
      <c r="L22" s="3"/>
    </row>
    <row r="23" spans="1:12" ht="15" customHeight="1" x14ac:dyDescent="0.25">
      <c r="A23" s="236"/>
      <c r="B23" s="240" t="s">
        <v>155</v>
      </c>
      <c r="C23" s="186" t="s">
        <v>386</v>
      </c>
      <c r="D23" s="236"/>
      <c r="E23" s="3"/>
      <c r="F23" s="3"/>
      <c r="G23" s="3"/>
      <c r="H23" s="3"/>
      <c r="I23" s="3"/>
      <c r="J23" s="3"/>
      <c r="K23" s="3"/>
      <c r="L23" s="3"/>
    </row>
    <row r="24" spans="1:12" x14ac:dyDescent="0.25">
      <c r="A24" s="236"/>
      <c r="B24" s="240"/>
      <c r="C24" s="187" t="s">
        <v>387</v>
      </c>
      <c r="D24" s="236"/>
      <c r="E24" s="3"/>
      <c r="F24" s="3"/>
      <c r="G24" s="3"/>
      <c r="H24" s="3"/>
      <c r="I24" s="3"/>
      <c r="J24" s="3"/>
      <c r="K24" s="3"/>
      <c r="L24" s="3"/>
    </row>
    <row r="25" spans="1:12" x14ac:dyDescent="0.25">
      <c r="A25" s="236"/>
      <c r="B25" s="181" t="s">
        <v>194</v>
      </c>
      <c r="C25" s="188" t="s">
        <v>388</v>
      </c>
      <c r="D25" s="236"/>
      <c r="E25" s="3"/>
      <c r="F25" s="3"/>
      <c r="G25" s="3"/>
      <c r="H25" s="3"/>
      <c r="I25" s="3"/>
      <c r="J25" s="3"/>
      <c r="K25" s="3"/>
      <c r="L25" s="3"/>
    </row>
    <row r="26" spans="1:12" x14ac:dyDescent="0.25">
      <c r="A26" s="236"/>
      <c r="B26" s="148" t="s">
        <v>149</v>
      </c>
      <c r="C26" s="188" t="s">
        <v>395</v>
      </c>
      <c r="D26" s="236"/>
      <c r="E26" s="3"/>
      <c r="F26" s="3"/>
      <c r="G26" s="3"/>
      <c r="H26" s="3"/>
      <c r="I26" s="3"/>
      <c r="J26" s="3"/>
      <c r="K26" s="3"/>
      <c r="L26" s="3"/>
    </row>
    <row r="27" spans="1:12" ht="15" customHeight="1" x14ac:dyDescent="0.25">
      <c r="A27" s="236"/>
      <c r="C27" s="189" t="s">
        <v>397</v>
      </c>
      <c r="D27" s="236"/>
      <c r="E27" s="3"/>
      <c r="F27" s="3"/>
      <c r="G27" s="3"/>
      <c r="H27" s="3"/>
      <c r="I27" s="3"/>
      <c r="J27" s="3"/>
      <c r="K27" s="3"/>
      <c r="L27" s="3"/>
    </row>
    <row r="28" spans="1:12" x14ac:dyDescent="0.25">
      <c r="A28" s="236"/>
      <c r="B28" s="181" t="s">
        <v>343</v>
      </c>
      <c r="C28" s="188" t="s">
        <v>400</v>
      </c>
      <c r="D28" s="236"/>
      <c r="E28" s="3"/>
      <c r="F28" s="3"/>
      <c r="G28" s="3"/>
      <c r="H28" s="3"/>
      <c r="I28" s="3"/>
      <c r="J28" s="3"/>
      <c r="K28" s="3"/>
      <c r="L28" s="3"/>
    </row>
    <row r="29" spans="1:12" ht="15" customHeight="1" x14ac:dyDescent="0.25">
      <c r="A29" s="236"/>
      <c r="B29" s="191" t="s">
        <v>150</v>
      </c>
      <c r="C29" s="189" t="s">
        <v>396</v>
      </c>
      <c r="D29" s="236"/>
      <c r="E29" s="3"/>
      <c r="F29" s="3"/>
      <c r="G29" s="3"/>
      <c r="H29" s="3"/>
      <c r="I29" s="3"/>
      <c r="J29" s="3"/>
      <c r="K29" s="3"/>
      <c r="L29" s="3"/>
    </row>
    <row r="30" spans="1:12" x14ac:dyDescent="0.25">
      <c r="A30" s="236"/>
      <c r="B30" s="181"/>
      <c r="C30" s="192" t="s">
        <v>399</v>
      </c>
      <c r="D30" s="236"/>
      <c r="E30" s="3"/>
      <c r="F30" s="3"/>
      <c r="G30" s="3"/>
      <c r="H30" s="3"/>
      <c r="I30" s="3"/>
      <c r="J30" s="3"/>
      <c r="K30" s="3"/>
      <c r="L30" s="3"/>
    </row>
    <row r="31" spans="1:12" x14ac:dyDescent="0.25">
      <c r="A31" s="236"/>
      <c r="B31" s="181" t="s">
        <v>398</v>
      </c>
      <c r="C31" s="193" t="s">
        <v>401</v>
      </c>
      <c r="D31" s="236"/>
      <c r="E31" s="3"/>
      <c r="F31" s="3"/>
      <c r="G31" s="3"/>
      <c r="H31" s="3"/>
      <c r="I31" s="3"/>
      <c r="J31" s="3"/>
      <c r="K31" s="3"/>
      <c r="L31" s="3"/>
    </row>
    <row r="32" spans="1:12" x14ac:dyDescent="0.25">
      <c r="A32" s="236"/>
      <c r="B32" s="148" t="s">
        <v>404</v>
      </c>
      <c r="C32" s="194" t="s">
        <v>406</v>
      </c>
      <c r="D32" s="236"/>
      <c r="E32" s="3"/>
      <c r="F32" s="3"/>
      <c r="G32" s="3"/>
      <c r="H32" s="3"/>
      <c r="I32" s="3"/>
      <c r="J32" s="3"/>
      <c r="K32" s="3"/>
      <c r="L32" s="3"/>
    </row>
    <row r="33" spans="1:12" x14ac:dyDescent="0.25">
      <c r="A33" s="236"/>
      <c r="B33" s="148" t="s">
        <v>405</v>
      </c>
      <c r="C33" s="194" t="s">
        <v>407</v>
      </c>
      <c r="D33" s="236"/>
      <c r="E33" s="3"/>
      <c r="F33" s="3"/>
      <c r="G33" s="3"/>
      <c r="H33" s="3"/>
      <c r="I33" s="3"/>
      <c r="J33" s="3"/>
      <c r="K33" s="3"/>
      <c r="L33" s="3"/>
    </row>
    <row r="34" spans="1:12" ht="7.5" customHeight="1" x14ac:dyDescent="0.25">
      <c r="A34" s="236"/>
      <c r="B34" s="181"/>
      <c r="C34" s="193"/>
      <c r="D34" s="236"/>
      <c r="E34" s="3"/>
      <c r="F34" s="3"/>
      <c r="G34" s="3"/>
      <c r="H34" s="3"/>
      <c r="I34" s="3"/>
      <c r="J34" s="3"/>
      <c r="K34" s="3"/>
      <c r="L34" s="3"/>
    </row>
    <row r="35" spans="1:12" ht="15.75" thickBot="1" x14ac:dyDescent="0.3">
      <c r="A35" s="236"/>
      <c r="B35" s="241" t="s">
        <v>394</v>
      </c>
      <c r="C35" s="241"/>
      <c r="D35" s="236"/>
      <c r="E35" s="3"/>
      <c r="F35" s="3"/>
      <c r="G35" s="3"/>
      <c r="H35" s="3"/>
      <c r="I35" s="3"/>
      <c r="J35" s="3"/>
      <c r="K35" s="3"/>
      <c r="L35" s="3"/>
    </row>
    <row r="36" spans="1:12" ht="15.75" thickTop="1" x14ac:dyDescent="0.25">
      <c r="A36" s="236"/>
      <c r="B36" s="181" t="s">
        <v>389</v>
      </c>
      <c r="C36" s="188" t="s">
        <v>391</v>
      </c>
      <c r="D36" s="236"/>
      <c r="E36" s="3"/>
      <c r="F36" s="3"/>
      <c r="G36" s="3"/>
      <c r="H36" s="3"/>
      <c r="I36" s="3"/>
      <c r="J36" s="3"/>
      <c r="K36" s="3"/>
      <c r="L36" s="3"/>
    </row>
    <row r="37" spans="1:12" ht="15" customHeight="1" x14ac:dyDescent="0.25">
      <c r="A37" s="236"/>
      <c r="B37" s="148" t="s">
        <v>390</v>
      </c>
      <c r="C37" s="190" t="s">
        <v>393</v>
      </c>
      <c r="D37" s="236"/>
      <c r="E37" s="170"/>
      <c r="F37" s="170"/>
      <c r="G37" s="170"/>
      <c r="H37" s="170"/>
      <c r="I37" s="170"/>
      <c r="J37" s="170"/>
      <c r="K37" s="170"/>
      <c r="L37" s="170"/>
    </row>
    <row r="38" spans="1:12" ht="15" customHeight="1" x14ac:dyDescent="0.25">
      <c r="A38" s="236"/>
      <c r="B38" s="181"/>
      <c r="C38" s="190" t="s">
        <v>392</v>
      </c>
      <c r="D38" s="236"/>
      <c r="E38" s="170"/>
      <c r="F38" s="170"/>
      <c r="G38" s="170"/>
      <c r="H38" s="170"/>
      <c r="I38" s="170"/>
      <c r="J38" s="170"/>
      <c r="K38" s="170"/>
      <c r="L38" s="170"/>
    </row>
    <row r="39" spans="1:12" ht="15" customHeight="1" x14ac:dyDescent="0.25">
      <c r="A39" s="236"/>
      <c r="B39" s="181" t="s">
        <v>188</v>
      </c>
      <c r="C39" s="190" t="s">
        <v>409</v>
      </c>
      <c r="D39" s="236"/>
      <c r="E39" s="170"/>
      <c r="F39" s="170"/>
      <c r="G39" s="170"/>
      <c r="H39" s="170"/>
      <c r="I39" s="170"/>
      <c r="J39" s="170"/>
      <c r="K39" s="170"/>
      <c r="L39" s="170"/>
    </row>
    <row r="40" spans="1:12" ht="17.25" customHeight="1" x14ac:dyDescent="0.25">
      <c r="A40" s="236"/>
      <c r="B40" s="148" t="s">
        <v>175</v>
      </c>
      <c r="C40" s="185" t="s">
        <v>410</v>
      </c>
      <c r="D40" s="236"/>
      <c r="E40" s="170"/>
      <c r="F40" s="170"/>
      <c r="G40" s="170"/>
      <c r="H40" s="170"/>
      <c r="I40" s="170"/>
      <c r="J40" s="170"/>
      <c r="K40" s="170"/>
      <c r="L40" s="170"/>
    </row>
    <row r="41" spans="1:12" ht="17.25" customHeight="1" x14ac:dyDescent="0.25">
      <c r="A41" s="236"/>
      <c r="B41" s="181" t="s">
        <v>408</v>
      </c>
      <c r="C41" s="185" t="s">
        <v>417</v>
      </c>
      <c r="D41" s="236"/>
      <c r="E41" s="170"/>
      <c r="F41" s="170"/>
      <c r="G41" s="170"/>
      <c r="H41" s="170"/>
      <c r="I41" s="170"/>
      <c r="J41" s="170"/>
      <c r="K41" s="170"/>
      <c r="L41" s="170"/>
    </row>
    <row r="42" spans="1:12" ht="17.25" customHeight="1" x14ac:dyDescent="0.25">
      <c r="A42" s="236"/>
      <c r="B42" s="181" t="s">
        <v>411</v>
      </c>
      <c r="C42" s="185" t="s">
        <v>416</v>
      </c>
      <c r="D42" s="236"/>
      <c r="E42" s="170"/>
      <c r="F42" s="170"/>
      <c r="G42" s="170"/>
      <c r="H42" s="170"/>
      <c r="I42" s="170"/>
      <c r="J42" s="170"/>
      <c r="K42" s="170"/>
      <c r="L42" s="170"/>
    </row>
    <row r="43" spans="1:12" ht="17.25" customHeight="1" x14ac:dyDescent="0.25">
      <c r="A43" s="236"/>
      <c r="B43" s="181"/>
      <c r="C43" s="182" t="s">
        <v>418</v>
      </c>
      <c r="D43" s="236"/>
      <c r="E43" s="170"/>
      <c r="F43" s="170"/>
      <c r="G43" s="170"/>
      <c r="H43" s="170"/>
      <c r="I43" s="170"/>
      <c r="J43" s="170"/>
      <c r="K43" s="170"/>
      <c r="L43" s="170"/>
    </row>
    <row r="44" spans="1:12" x14ac:dyDescent="0.25">
      <c r="A44" s="236"/>
      <c r="B44" s="148" t="s">
        <v>412</v>
      </c>
      <c r="C44" s="194" t="s">
        <v>414</v>
      </c>
      <c r="D44" s="236"/>
      <c r="E44" s="173"/>
      <c r="F44" s="173"/>
      <c r="G44" s="173"/>
      <c r="H44" s="173"/>
      <c r="I44" s="173"/>
      <c r="J44" s="173"/>
      <c r="K44" s="173"/>
      <c r="L44" s="173"/>
    </row>
    <row r="45" spans="1:12" ht="15" customHeight="1" x14ac:dyDescent="0.25">
      <c r="A45" s="236"/>
      <c r="B45" s="148" t="s">
        <v>413</v>
      </c>
      <c r="C45" s="189" t="s">
        <v>415</v>
      </c>
      <c r="D45" s="236"/>
      <c r="E45" s="170"/>
      <c r="F45" s="170"/>
      <c r="G45" s="170"/>
      <c r="H45" s="170"/>
      <c r="I45" s="170"/>
      <c r="J45" s="170"/>
      <c r="K45" s="170"/>
      <c r="L45" s="170"/>
    </row>
    <row r="46" spans="1:12" x14ac:dyDescent="0.25">
      <c r="A46" s="236"/>
      <c r="B46" s="237"/>
      <c r="C46" s="237"/>
      <c r="D46" s="236"/>
      <c r="E46" s="158"/>
      <c r="F46" s="158"/>
      <c r="G46" s="158"/>
      <c r="H46" s="158"/>
      <c r="I46" s="158"/>
      <c r="J46" s="158"/>
      <c r="K46" s="158"/>
      <c r="L46" s="158"/>
    </row>
    <row r="47" spans="1:12" ht="15.75" thickBot="1" x14ac:dyDescent="0.3">
      <c r="A47" s="236"/>
      <c r="B47" s="239" t="s">
        <v>160</v>
      </c>
      <c r="C47" s="239"/>
      <c r="D47" s="236"/>
      <c r="E47" s="159"/>
      <c r="F47" s="159"/>
      <c r="G47" s="159"/>
      <c r="H47" s="159"/>
      <c r="I47" s="159"/>
      <c r="J47" s="159"/>
      <c r="K47" s="159"/>
      <c r="L47" s="159"/>
    </row>
    <row r="48" spans="1:12" ht="15.75" customHeight="1" x14ac:dyDescent="0.25">
      <c r="A48" s="236"/>
      <c r="B48" s="247" t="s">
        <v>346</v>
      </c>
      <c r="C48" s="247"/>
      <c r="D48" s="236"/>
      <c r="E48" s="153"/>
      <c r="F48" s="153"/>
      <c r="G48" s="153"/>
      <c r="H48" s="153"/>
      <c r="I48" s="153"/>
      <c r="J48" s="153"/>
      <c r="K48" s="153"/>
      <c r="L48" s="153"/>
    </row>
    <row r="49" spans="1:12" ht="31.5" customHeight="1" x14ac:dyDescent="0.25">
      <c r="A49" s="236"/>
      <c r="B49" s="248" t="s">
        <v>347</v>
      </c>
      <c r="C49" s="248"/>
      <c r="D49" s="236"/>
      <c r="E49" s="153"/>
      <c r="F49" s="153"/>
      <c r="G49" s="153"/>
      <c r="H49" s="153"/>
      <c r="I49" s="153"/>
      <c r="J49" s="153"/>
      <c r="K49" s="153"/>
      <c r="L49" s="153"/>
    </row>
    <row r="50" spans="1:12" ht="30.75" customHeight="1" x14ac:dyDescent="0.25">
      <c r="A50" s="236"/>
      <c r="B50" s="245" t="s">
        <v>345</v>
      </c>
      <c r="C50" s="245"/>
      <c r="D50" s="236"/>
      <c r="E50" s="150"/>
      <c r="F50" s="150"/>
      <c r="G50" s="150"/>
      <c r="H50" s="150"/>
      <c r="I50" s="150"/>
      <c r="J50" s="150"/>
      <c r="K50" s="150"/>
      <c r="L50" s="150"/>
    </row>
    <row r="51" spans="1:12" ht="48" customHeight="1" x14ac:dyDescent="0.25">
      <c r="A51" s="236"/>
      <c r="B51" s="245" t="s">
        <v>348</v>
      </c>
      <c r="C51" s="245"/>
      <c r="D51" s="236"/>
      <c r="E51" s="150"/>
      <c r="F51" s="150"/>
      <c r="G51" s="150"/>
      <c r="H51" s="150"/>
      <c r="I51" s="150"/>
      <c r="J51" s="150"/>
      <c r="K51" s="150"/>
      <c r="L51" s="150"/>
    </row>
    <row r="52" spans="1:12" ht="61.5" customHeight="1" x14ac:dyDescent="0.25">
      <c r="A52" s="236"/>
      <c r="B52" s="245" t="s">
        <v>349</v>
      </c>
      <c r="C52" s="245"/>
      <c r="D52" s="236"/>
      <c r="E52" s="150"/>
      <c r="F52" s="150"/>
      <c r="G52" s="150"/>
      <c r="H52" s="150"/>
      <c r="I52" s="150"/>
      <c r="J52" s="150"/>
      <c r="K52" s="150"/>
      <c r="L52" s="150"/>
    </row>
    <row r="53" spans="1:12" ht="47.25" customHeight="1" x14ac:dyDescent="0.25">
      <c r="A53" s="236"/>
      <c r="B53" s="245" t="s">
        <v>350</v>
      </c>
      <c r="C53" s="245"/>
      <c r="D53" s="236"/>
      <c r="E53" s="150"/>
      <c r="F53" s="150"/>
      <c r="G53" s="150"/>
      <c r="H53" s="150"/>
      <c r="I53" s="150"/>
      <c r="J53" s="150"/>
      <c r="K53" s="150"/>
      <c r="L53" s="150"/>
    </row>
    <row r="54" spans="1:12" ht="30.95" customHeight="1" x14ac:dyDescent="0.25">
      <c r="A54" s="236"/>
      <c r="B54" s="235" t="s">
        <v>437</v>
      </c>
      <c r="C54" s="235"/>
      <c r="D54" s="236"/>
      <c r="E54" s="218"/>
      <c r="F54" s="218"/>
      <c r="G54" s="218"/>
      <c r="H54" s="218"/>
      <c r="I54" s="218"/>
      <c r="J54" s="218"/>
      <c r="K54" s="218"/>
      <c r="L54" s="218"/>
    </row>
    <row r="55" spans="1:12" ht="61.5" customHeight="1" x14ac:dyDescent="0.25">
      <c r="A55" s="236"/>
      <c r="B55" s="235" t="s">
        <v>438</v>
      </c>
      <c r="C55" s="235"/>
      <c r="D55" s="236"/>
      <c r="E55" s="218"/>
      <c r="F55" s="218"/>
      <c r="G55" s="218"/>
      <c r="H55" s="218"/>
      <c r="I55" s="218"/>
      <c r="J55" s="218"/>
      <c r="K55" s="218"/>
      <c r="L55" s="218"/>
    </row>
    <row r="56" spans="1:12" ht="32.25" customHeight="1" x14ac:dyDescent="0.25">
      <c r="A56" s="236"/>
      <c r="B56" s="235" t="s">
        <v>439</v>
      </c>
      <c r="C56" s="235"/>
      <c r="D56" s="236"/>
      <c r="E56" s="122"/>
      <c r="F56" s="122"/>
      <c r="G56" s="122"/>
      <c r="H56" s="122"/>
      <c r="I56" s="122"/>
      <c r="J56" s="122"/>
      <c r="K56" s="122"/>
      <c r="L56" s="122"/>
    </row>
    <row r="57" spans="1:12" ht="15.75" thickBot="1" x14ac:dyDescent="0.3">
      <c r="A57" s="236"/>
      <c r="B57" s="239" t="s">
        <v>142</v>
      </c>
      <c r="C57" s="239"/>
      <c r="D57" s="236"/>
      <c r="E57" s="159"/>
      <c r="F57" s="159"/>
      <c r="G57" s="159"/>
      <c r="H57" s="159"/>
      <c r="I57" s="159"/>
      <c r="J57" s="159"/>
      <c r="K57" s="159"/>
      <c r="L57" s="159"/>
    </row>
    <row r="58" spans="1:12" ht="72" customHeight="1" x14ac:dyDescent="0.25">
      <c r="A58" s="236"/>
      <c r="B58" s="246" t="s">
        <v>372</v>
      </c>
      <c r="C58" s="246"/>
      <c r="D58" s="236"/>
      <c r="E58" s="151"/>
      <c r="F58" s="151"/>
      <c r="G58" s="151"/>
      <c r="H58" s="151"/>
      <c r="I58" s="151"/>
      <c r="J58" s="151"/>
      <c r="K58" s="151"/>
      <c r="L58" s="151"/>
    </row>
    <row r="59" spans="1:12" x14ac:dyDescent="0.25">
      <c r="A59" s="236"/>
      <c r="B59" s="236"/>
      <c r="C59" s="236"/>
      <c r="D59" s="236"/>
      <c r="E59" s="151"/>
      <c r="F59" s="151"/>
      <c r="G59" s="151"/>
      <c r="H59" s="151"/>
      <c r="I59" s="151"/>
      <c r="J59" s="151"/>
      <c r="K59" s="151"/>
      <c r="L59" s="151"/>
    </row>
    <row r="60" spans="1:12" x14ac:dyDescent="0.25">
      <c r="A60" s="236"/>
      <c r="B60" s="236"/>
      <c r="C60" s="236"/>
      <c r="D60" s="236"/>
      <c r="E60" s="151"/>
      <c r="F60" s="151"/>
      <c r="G60" s="151"/>
      <c r="H60" s="151"/>
      <c r="I60" s="151"/>
      <c r="J60" s="151"/>
      <c r="K60" s="151"/>
      <c r="L60" s="151"/>
    </row>
    <row r="61" spans="1:12" x14ac:dyDescent="0.25">
      <c r="A61" s="236"/>
      <c r="B61" s="236"/>
      <c r="C61" s="236"/>
      <c r="D61" s="236"/>
    </row>
    <row r="62" spans="1:12" x14ac:dyDescent="0.25">
      <c r="A62" s="236"/>
      <c r="B62" s="236"/>
      <c r="C62" s="236"/>
      <c r="D62" s="236"/>
    </row>
    <row r="63" spans="1:12" x14ac:dyDescent="0.25">
      <c r="A63" s="236"/>
      <c r="B63" s="236"/>
      <c r="C63" s="236"/>
      <c r="D63" s="236"/>
    </row>
    <row r="64" spans="1:12" x14ac:dyDescent="0.25">
      <c r="A64" s="236"/>
      <c r="B64" s="236"/>
      <c r="C64" s="236"/>
      <c r="D64" s="236"/>
    </row>
    <row r="65" spans="1:4" x14ac:dyDescent="0.25">
      <c r="A65" s="236"/>
      <c r="B65" s="236"/>
      <c r="C65" s="236"/>
      <c r="D65" s="236"/>
    </row>
    <row r="66" spans="1:4" x14ac:dyDescent="0.25">
      <c r="A66" s="236"/>
      <c r="B66" s="236"/>
      <c r="C66" s="236"/>
      <c r="D66" s="236"/>
    </row>
    <row r="67" spans="1:4" x14ac:dyDescent="0.25">
      <c r="A67" s="236"/>
      <c r="B67" s="236"/>
      <c r="C67" s="236"/>
      <c r="D67" s="236"/>
    </row>
    <row r="68" spans="1:4" x14ac:dyDescent="0.25">
      <c r="A68" s="236"/>
      <c r="B68" s="236"/>
      <c r="C68" s="236"/>
      <c r="D68" s="236"/>
    </row>
    <row r="69" spans="1:4" x14ac:dyDescent="0.25">
      <c r="A69" s="236"/>
      <c r="B69" s="236"/>
      <c r="C69" s="236"/>
      <c r="D69" s="236"/>
    </row>
    <row r="70" spans="1:4" x14ac:dyDescent="0.25">
      <c r="A70" s="236"/>
      <c r="B70" s="236"/>
      <c r="C70" s="236"/>
      <c r="D70" s="236"/>
    </row>
    <row r="71" spans="1:4" x14ac:dyDescent="0.25">
      <c r="A71" s="236"/>
      <c r="B71" s="236"/>
      <c r="C71" s="236"/>
      <c r="D71" s="236"/>
    </row>
    <row r="72" spans="1:4" x14ac:dyDescent="0.25">
      <c r="A72" s="236"/>
      <c r="B72" s="236"/>
      <c r="C72" s="236"/>
      <c r="D72" s="236"/>
    </row>
    <row r="73" spans="1:4" x14ac:dyDescent="0.25">
      <c r="A73" s="236"/>
      <c r="B73" s="236"/>
      <c r="C73" s="236"/>
      <c r="D73" s="236"/>
    </row>
    <row r="74" spans="1:4" x14ac:dyDescent="0.25">
      <c r="A74" s="236"/>
      <c r="B74" s="236"/>
      <c r="C74" s="236"/>
      <c r="D74" s="236"/>
    </row>
    <row r="75" spans="1:4" x14ac:dyDescent="0.25">
      <c r="A75" s="236"/>
      <c r="B75" s="236"/>
      <c r="C75" s="236"/>
      <c r="D75" s="236"/>
    </row>
    <row r="76" spans="1:4" x14ac:dyDescent="0.25">
      <c r="A76" s="236"/>
      <c r="B76" s="236"/>
      <c r="C76" s="236"/>
      <c r="D76" s="236"/>
    </row>
    <row r="77" spans="1:4" x14ac:dyDescent="0.25">
      <c r="A77" s="236"/>
      <c r="B77" s="236"/>
      <c r="C77" s="236"/>
      <c r="D77" s="236"/>
    </row>
    <row r="78" spans="1:4" x14ac:dyDescent="0.25">
      <c r="A78" s="236"/>
      <c r="B78" s="236"/>
      <c r="C78" s="236"/>
      <c r="D78" s="236"/>
    </row>
    <row r="79" spans="1:4" x14ac:dyDescent="0.25">
      <c r="A79" s="236"/>
      <c r="B79" s="236"/>
      <c r="C79" s="236"/>
      <c r="D79" s="236"/>
    </row>
    <row r="80" spans="1:4" x14ac:dyDescent="0.25">
      <c r="A80" s="236"/>
      <c r="B80" s="236"/>
      <c r="C80" s="236"/>
      <c r="D80" s="236"/>
    </row>
    <row r="81" spans="1:4" x14ac:dyDescent="0.25">
      <c r="A81" s="236"/>
      <c r="B81" s="236"/>
      <c r="C81" s="236"/>
      <c r="D81" s="236"/>
    </row>
    <row r="82" spans="1:4" x14ac:dyDescent="0.25">
      <c r="A82" s="236"/>
      <c r="B82" s="236"/>
      <c r="C82" s="236"/>
      <c r="D82" s="236"/>
    </row>
    <row r="83" spans="1:4" x14ac:dyDescent="0.25">
      <c r="A83" s="236"/>
      <c r="B83" s="236"/>
      <c r="C83" s="236"/>
      <c r="D83" s="236"/>
    </row>
    <row r="84" spans="1:4" x14ac:dyDescent="0.25">
      <c r="A84" s="236"/>
      <c r="B84" s="236"/>
      <c r="C84" s="236"/>
      <c r="D84" s="236"/>
    </row>
    <row r="85" spans="1:4" x14ac:dyDescent="0.25">
      <c r="A85" s="236"/>
      <c r="B85" s="236"/>
      <c r="C85" s="236"/>
      <c r="D85" s="236"/>
    </row>
    <row r="86" spans="1:4" x14ac:dyDescent="0.25">
      <c r="A86" s="236"/>
      <c r="B86" s="236"/>
      <c r="C86" s="236"/>
      <c r="D86" s="236"/>
    </row>
    <row r="87" spans="1:4" x14ac:dyDescent="0.25">
      <c r="A87" s="236"/>
      <c r="B87" s="236"/>
      <c r="C87" s="236"/>
      <c r="D87" s="236"/>
    </row>
    <row r="88" spans="1:4" x14ac:dyDescent="0.25">
      <c r="A88" s="236"/>
      <c r="B88" s="236"/>
      <c r="C88" s="236"/>
      <c r="D88" s="236"/>
    </row>
    <row r="89" spans="1:4" x14ac:dyDescent="0.25">
      <c r="A89" s="236"/>
      <c r="B89" s="236"/>
      <c r="C89" s="236"/>
      <c r="D89" s="236"/>
    </row>
    <row r="90" spans="1:4" x14ac:dyDescent="0.25">
      <c r="A90" s="236"/>
      <c r="B90" s="236"/>
      <c r="C90" s="236"/>
      <c r="D90" s="236"/>
    </row>
    <row r="91" spans="1:4" x14ac:dyDescent="0.25">
      <c r="A91" s="236"/>
      <c r="B91" s="236"/>
      <c r="C91" s="236"/>
      <c r="D91" s="236"/>
    </row>
  </sheetData>
  <sheetProtection algorithmName="SHA-512" hashValue="wloLnIePQKjYydEhZoA+ByMNIxW7wgM7Vuhp2wjF64T7qz5ukqD0TMYGkG93jjRgxX3IKCTFoqk+1eBPztw/Yw==" saltValue="uhn2rNDgPeLv+QyFaget7g==" spinCount="100000" sheet="1" objects="1" scenarios="1" selectLockedCells="1" selectUnlockedCells="1"/>
  <mergeCells count="27">
    <mergeCell ref="D1:D58"/>
    <mergeCell ref="A59:D91"/>
    <mergeCell ref="B7:C7"/>
    <mergeCell ref="B51:C51"/>
    <mergeCell ref="B52:C52"/>
    <mergeCell ref="B53:C53"/>
    <mergeCell ref="B57:C57"/>
    <mergeCell ref="B58:C58"/>
    <mergeCell ref="B19:C19"/>
    <mergeCell ref="B47:C47"/>
    <mergeCell ref="B48:C48"/>
    <mergeCell ref="B49:C49"/>
    <mergeCell ref="B50:C50"/>
    <mergeCell ref="B2:C2"/>
    <mergeCell ref="A1:A58"/>
    <mergeCell ref="B3:C3"/>
    <mergeCell ref="B56:C56"/>
    <mergeCell ref="B1:C1"/>
    <mergeCell ref="B46:C46"/>
    <mergeCell ref="B6:C6"/>
    <mergeCell ref="B8:C8"/>
    <mergeCell ref="B23:B24"/>
    <mergeCell ref="B21:C21"/>
    <mergeCell ref="B35:C35"/>
    <mergeCell ref="B4:C5"/>
    <mergeCell ref="B54:C54"/>
    <mergeCell ref="B55:C55"/>
  </mergeCells>
  <printOptions horizontalCentered="1"/>
  <pageMargins left="0.7" right="0.7" top="0.75" bottom="0.75" header="0.3" footer="0.3"/>
  <pageSetup scale="57" orientation="portrait" horizontalDpi="4294967293" verticalDpi="4294967293" r:id="rId1"/>
  <colBreaks count="2" manualBreakCount="2">
    <brk id="1" max="1048575" man="1"/>
    <brk id="3" max="71"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AA208"/>
  <sheetViews>
    <sheetView showGridLines="0" showRowColHeaders="0" zoomScaleNormal="100" workbookViewId="0">
      <selection activeCell="F26" sqref="F26"/>
    </sheetView>
  </sheetViews>
  <sheetFormatPr defaultRowHeight="15" x14ac:dyDescent="0.25"/>
  <cols>
    <col min="1" max="1" width="3.140625" customWidth="1"/>
    <col min="2" max="2" width="13.7109375" customWidth="1"/>
    <col min="3" max="10" width="11.7109375" customWidth="1"/>
    <col min="11" max="11" width="13.7109375" customWidth="1"/>
    <col min="12" max="12" width="17.85546875" customWidth="1"/>
    <col min="13" max="13" width="19.140625" customWidth="1"/>
    <col min="14" max="14" width="169.42578125" customWidth="1"/>
    <col min="15" max="15" width="15.7109375" hidden="1" customWidth="1"/>
    <col min="16" max="16" width="6" bestFit="1" customWidth="1"/>
    <col min="17" max="17" width="5.7109375" bestFit="1" customWidth="1"/>
    <col min="18" max="19" width="5" bestFit="1" customWidth="1"/>
    <col min="20" max="20" width="4.7109375" bestFit="1" customWidth="1"/>
  </cols>
  <sheetData>
    <row r="1" spans="1:27" x14ac:dyDescent="0.25">
      <c r="A1" s="236"/>
      <c r="B1" s="236"/>
      <c r="C1" s="236"/>
      <c r="D1" s="236"/>
      <c r="E1" s="236"/>
      <c r="F1" s="236"/>
      <c r="G1" s="236"/>
      <c r="H1" s="236"/>
      <c r="I1" s="236"/>
      <c r="J1" s="236"/>
      <c r="K1" s="236"/>
      <c r="L1" s="236"/>
      <c r="M1" s="236"/>
      <c r="N1" s="236"/>
    </row>
    <row r="2" spans="1:27" ht="111.75" customHeight="1" x14ac:dyDescent="0.35">
      <c r="A2" s="236"/>
      <c r="B2" s="279"/>
      <c r="C2" s="279"/>
      <c r="D2" s="279"/>
      <c r="E2" s="279"/>
      <c r="F2" s="279"/>
      <c r="G2" s="279"/>
      <c r="H2" s="279"/>
      <c r="I2" s="279"/>
      <c r="J2" s="279"/>
      <c r="K2" s="279"/>
      <c r="L2" s="279"/>
      <c r="M2" s="44"/>
      <c r="N2" s="236"/>
    </row>
    <row r="3" spans="1:27" ht="15" customHeight="1" thickBot="1" x14ac:dyDescent="0.3">
      <c r="A3" s="236"/>
      <c r="B3" s="52" t="s">
        <v>60</v>
      </c>
      <c r="C3" s="52"/>
      <c r="D3" s="52"/>
      <c r="E3" s="8"/>
      <c r="F3" s="8"/>
      <c r="G3" s="8"/>
      <c r="H3" s="8"/>
      <c r="I3" s="8"/>
      <c r="J3" s="8"/>
      <c r="K3" s="8"/>
      <c r="L3" s="8"/>
      <c r="M3" s="8"/>
      <c r="N3" s="236"/>
    </row>
    <row r="4" spans="1:27" ht="15" customHeight="1" x14ac:dyDescent="0.25">
      <c r="A4" s="236"/>
      <c r="B4" s="46" t="s">
        <v>62</v>
      </c>
      <c r="C4" s="280" t="s">
        <v>435</v>
      </c>
      <c r="D4" s="280"/>
      <c r="E4" s="280"/>
      <c r="F4" s="280"/>
      <c r="G4" s="280"/>
      <c r="H4" s="280"/>
      <c r="I4" s="280"/>
      <c r="J4" s="280"/>
      <c r="K4" s="225" t="s">
        <v>59</v>
      </c>
      <c r="L4" s="280"/>
      <c r="M4" s="280"/>
      <c r="N4" s="236"/>
      <c r="W4" s="24"/>
      <c r="X4" s="24"/>
      <c r="Y4" s="24"/>
      <c r="Z4" s="24"/>
      <c r="AA4" s="24"/>
    </row>
    <row r="5" spans="1:27" ht="15" customHeight="1" x14ac:dyDescent="0.25">
      <c r="A5" s="236"/>
      <c r="B5" s="45" t="s">
        <v>58</v>
      </c>
      <c r="C5" s="280" t="s">
        <v>357</v>
      </c>
      <c r="D5" s="280"/>
      <c r="E5" s="280"/>
      <c r="F5" s="280"/>
      <c r="G5" s="280"/>
      <c r="H5" s="280"/>
      <c r="I5" s="280"/>
      <c r="J5" s="280"/>
      <c r="K5" s="280"/>
      <c r="L5" s="280"/>
      <c r="M5" s="280"/>
      <c r="N5" s="236"/>
      <c r="U5" s="24"/>
      <c r="V5" s="24"/>
      <c r="W5" s="24"/>
      <c r="X5" s="24"/>
      <c r="Y5" s="24"/>
      <c r="Z5" s="24"/>
      <c r="AA5" s="24"/>
    </row>
    <row r="6" spans="1:27" ht="15" customHeight="1" x14ac:dyDescent="0.25">
      <c r="A6" s="236"/>
      <c r="B6" s="45" t="s">
        <v>56</v>
      </c>
      <c r="C6" s="280"/>
      <c r="D6" s="280"/>
      <c r="E6" s="280"/>
      <c r="F6" s="280"/>
      <c r="G6" s="280"/>
      <c r="H6" s="280"/>
      <c r="I6" s="280"/>
      <c r="J6" s="280"/>
      <c r="K6" s="280"/>
      <c r="L6" s="280"/>
      <c r="M6" s="280"/>
      <c r="N6" s="236"/>
      <c r="U6" s="24"/>
      <c r="V6" s="24"/>
      <c r="W6" s="24"/>
      <c r="X6" s="24"/>
      <c r="Y6" s="24"/>
      <c r="Z6" s="24"/>
      <c r="AA6" s="24"/>
    </row>
    <row r="7" spans="1:27" ht="15" customHeight="1" x14ac:dyDescent="0.25">
      <c r="A7" s="236"/>
      <c r="B7" s="45" t="s">
        <v>57</v>
      </c>
      <c r="C7" s="281" t="s">
        <v>436</v>
      </c>
      <c r="D7" s="281"/>
      <c r="E7" s="281"/>
      <c r="F7" s="281"/>
      <c r="G7" s="281"/>
      <c r="H7" s="281"/>
      <c r="I7" s="281"/>
      <c r="J7" s="281"/>
      <c r="K7" s="281"/>
      <c r="L7" s="281"/>
      <c r="M7" s="281"/>
      <c r="N7" s="236"/>
      <c r="U7" s="24"/>
      <c r="V7" s="24"/>
      <c r="W7" s="24"/>
      <c r="X7" s="24"/>
      <c r="Y7" s="24"/>
      <c r="Z7" s="24"/>
      <c r="AA7" s="24"/>
    </row>
    <row r="8" spans="1:27" ht="15" customHeight="1" x14ac:dyDescent="0.25">
      <c r="A8" s="236"/>
      <c r="B8" s="45" t="s">
        <v>61</v>
      </c>
      <c r="C8" s="281"/>
      <c r="D8" s="281"/>
      <c r="E8" s="281"/>
      <c r="F8" s="281"/>
      <c r="G8" s="281"/>
      <c r="H8" s="281"/>
      <c r="I8" s="281"/>
      <c r="J8" s="281"/>
      <c r="K8" s="281"/>
      <c r="L8" s="281"/>
      <c r="M8" s="281"/>
      <c r="N8" s="236"/>
      <c r="U8" s="24"/>
      <c r="V8" s="24"/>
      <c r="W8" s="24"/>
      <c r="X8" s="24"/>
      <c r="Y8" s="24"/>
      <c r="Z8" s="24"/>
      <c r="AA8" s="24"/>
    </row>
    <row r="9" spans="1:27" ht="15" customHeight="1" x14ac:dyDescent="0.25">
      <c r="A9" s="236"/>
      <c r="B9" s="166"/>
      <c r="C9" s="167"/>
      <c r="D9" s="167"/>
      <c r="E9" s="167"/>
      <c r="F9" s="167"/>
      <c r="G9" s="167"/>
      <c r="H9" s="3"/>
      <c r="J9" s="3"/>
      <c r="K9" s="3"/>
      <c r="N9" s="236"/>
      <c r="U9" s="24"/>
      <c r="V9" s="24"/>
      <c r="W9" s="24"/>
      <c r="X9" s="24"/>
      <c r="Y9" s="24"/>
      <c r="Z9" s="24"/>
      <c r="AA9" s="24"/>
    </row>
    <row r="10" spans="1:27" ht="15" customHeight="1" x14ac:dyDescent="0.25">
      <c r="A10" s="236"/>
      <c r="B10" s="166"/>
      <c r="C10" s="167"/>
      <c r="D10" s="167"/>
      <c r="E10" s="167"/>
      <c r="F10" s="167"/>
      <c r="G10" s="167"/>
      <c r="H10" s="3"/>
      <c r="J10" s="3"/>
      <c r="K10" s="3"/>
      <c r="N10" s="236"/>
      <c r="U10" s="24"/>
      <c r="V10" s="24"/>
      <c r="W10" s="24"/>
      <c r="X10" s="24"/>
      <c r="Y10" s="24"/>
      <c r="Z10" s="24"/>
      <c r="AA10" s="24"/>
    </row>
    <row r="11" spans="1:27" ht="15" customHeight="1" x14ac:dyDescent="0.25">
      <c r="A11" s="236"/>
      <c r="B11" s="166"/>
      <c r="C11" s="167"/>
      <c r="D11" s="167"/>
      <c r="E11" s="167"/>
      <c r="F11" s="167"/>
      <c r="G11" s="167"/>
      <c r="H11" s="3"/>
      <c r="J11" s="3"/>
      <c r="K11" s="3"/>
      <c r="N11" s="236"/>
      <c r="U11" s="24"/>
      <c r="V11" s="24"/>
      <c r="W11" s="24"/>
      <c r="X11" s="24"/>
      <c r="Y11" s="24"/>
      <c r="Z11" s="24"/>
      <c r="AA11" s="24"/>
    </row>
    <row r="12" spans="1:27" ht="15" customHeight="1" x14ac:dyDescent="0.25">
      <c r="A12" s="236"/>
      <c r="B12" s="166"/>
      <c r="C12" s="167"/>
      <c r="D12" s="167"/>
      <c r="E12" s="167"/>
      <c r="F12" s="167"/>
      <c r="G12" s="167"/>
      <c r="H12" s="3"/>
      <c r="J12" s="3"/>
      <c r="K12" s="3"/>
      <c r="N12" s="236"/>
      <c r="U12" s="24"/>
      <c r="V12" s="24"/>
      <c r="W12" s="24"/>
      <c r="X12" s="24"/>
      <c r="Y12" s="24"/>
      <c r="Z12" s="24"/>
      <c r="AA12" s="24"/>
    </row>
    <row r="13" spans="1:27" ht="15" customHeight="1" x14ac:dyDescent="0.25">
      <c r="A13" s="236"/>
      <c r="B13" s="166"/>
      <c r="C13" s="167"/>
      <c r="D13" s="167"/>
      <c r="E13" s="167"/>
      <c r="F13" s="167"/>
      <c r="G13" s="167"/>
      <c r="H13" s="3"/>
      <c r="J13" s="3"/>
      <c r="K13" s="3"/>
      <c r="N13" s="236"/>
      <c r="U13" s="24"/>
      <c r="V13" s="24"/>
      <c r="W13" s="24"/>
      <c r="X13" s="24"/>
      <c r="Y13" s="24"/>
      <c r="Z13" s="24"/>
      <c r="AA13" s="24"/>
    </row>
    <row r="14" spans="1:27" ht="15" customHeight="1" x14ac:dyDescent="0.25">
      <c r="A14" s="236"/>
      <c r="B14" s="166"/>
      <c r="C14" s="167"/>
      <c r="D14" s="167"/>
      <c r="E14" s="167"/>
      <c r="F14" s="167"/>
      <c r="G14" s="167"/>
      <c r="H14" s="3"/>
      <c r="J14" s="3"/>
      <c r="K14" s="3"/>
      <c r="N14" s="236"/>
      <c r="U14" s="24"/>
      <c r="V14" s="24"/>
      <c r="W14" s="24"/>
      <c r="X14" s="24"/>
      <c r="Y14" s="24"/>
      <c r="Z14" s="24"/>
      <c r="AA14" s="24"/>
    </row>
    <row r="15" spans="1:27" ht="15" customHeight="1" x14ac:dyDescent="0.25">
      <c r="A15" s="236"/>
      <c r="B15" s="166"/>
      <c r="C15" s="167"/>
      <c r="D15" s="167"/>
      <c r="E15" s="167"/>
      <c r="F15" s="167"/>
      <c r="G15" s="167"/>
      <c r="H15" s="3"/>
      <c r="J15" s="3"/>
      <c r="K15" s="3"/>
      <c r="N15" s="236"/>
      <c r="U15" s="24"/>
      <c r="V15" s="24"/>
      <c r="W15" s="24"/>
      <c r="X15" s="24"/>
      <c r="Y15" s="24"/>
      <c r="Z15" s="24"/>
      <c r="AA15" s="24"/>
    </row>
    <row r="16" spans="1:27" ht="15" customHeight="1" x14ac:dyDescent="0.25">
      <c r="A16" s="236"/>
      <c r="B16" s="166"/>
      <c r="C16" s="167"/>
      <c r="D16" s="167"/>
      <c r="E16" s="167"/>
      <c r="F16" s="167"/>
      <c r="G16" s="167"/>
      <c r="H16" s="3"/>
      <c r="J16" s="3"/>
      <c r="K16" s="3"/>
      <c r="N16" s="236"/>
      <c r="U16" s="24"/>
      <c r="V16" s="24"/>
      <c r="W16" s="24"/>
      <c r="X16" s="24"/>
      <c r="Y16" s="24"/>
      <c r="Z16" s="24"/>
      <c r="AA16" s="24"/>
    </row>
    <row r="17" spans="1:27" ht="15" customHeight="1" x14ac:dyDescent="0.25">
      <c r="A17" s="236"/>
      <c r="H17" s="3"/>
      <c r="J17" s="3"/>
      <c r="K17" s="3"/>
      <c r="N17" s="236"/>
      <c r="U17" s="24"/>
      <c r="V17" s="24"/>
      <c r="W17" s="24"/>
      <c r="X17" s="24"/>
      <c r="Y17" s="24"/>
      <c r="Z17" s="24"/>
      <c r="AA17" s="24"/>
    </row>
    <row r="18" spans="1:27" ht="15" customHeight="1" x14ac:dyDescent="0.25">
      <c r="A18" s="236"/>
      <c r="H18" s="3"/>
      <c r="J18" s="3"/>
      <c r="K18" s="3"/>
      <c r="N18" s="236"/>
      <c r="U18" s="24"/>
      <c r="V18" s="24"/>
      <c r="W18" s="24"/>
      <c r="X18" s="24"/>
      <c r="Y18" s="24"/>
      <c r="Z18" s="24"/>
      <c r="AA18" s="24"/>
    </row>
    <row r="19" spans="1:27" ht="15" customHeight="1" x14ac:dyDescent="0.25">
      <c r="A19" s="236"/>
      <c r="H19" s="3"/>
      <c r="J19" s="3"/>
      <c r="K19" s="3"/>
      <c r="N19" s="236"/>
      <c r="U19" s="24"/>
      <c r="V19" s="24"/>
      <c r="W19" s="24"/>
      <c r="X19" s="24"/>
      <c r="Y19" s="24"/>
      <c r="Z19" s="24"/>
      <c r="AA19" s="24"/>
    </row>
    <row r="20" spans="1:27" ht="15" customHeight="1" x14ac:dyDescent="0.25">
      <c r="A20" s="236"/>
      <c r="H20" s="3"/>
      <c r="J20" s="3"/>
      <c r="K20" s="3"/>
      <c r="N20" s="236"/>
      <c r="U20" s="24"/>
      <c r="V20" s="24"/>
      <c r="W20" s="24"/>
      <c r="X20" s="24"/>
      <c r="Y20" s="24"/>
      <c r="Z20" s="24"/>
      <c r="AA20" s="24"/>
    </row>
    <row r="21" spans="1:27" ht="15" customHeight="1" x14ac:dyDescent="0.25">
      <c r="A21" s="236"/>
      <c r="H21" s="3"/>
      <c r="J21" s="3"/>
      <c r="K21" s="3"/>
      <c r="N21" s="236"/>
      <c r="U21" s="24"/>
      <c r="V21" s="24"/>
      <c r="W21" s="24"/>
      <c r="X21" s="24"/>
      <c r="Y21" s="24"/>
      <c r="Z21" s="24"/>
      <c r="AA21" s="24"/>
    </row>
    <row r="22" spans="1:27" ht="15" customHeight="1" x14ac:dyDescent="0.25">
      <c r="A22" s="236"/>
      <c r="N22" s="236"/>
      <c r="U22" s="24"/>
      <c r="V22" s="24"/>
      <c r="W22" s="24"/>
      <c r="X22" s="24"/>
      <c r="Y22" s="24"/>
      <c r="Z22" s="24"/>
      <c r="AA22" s="24"/>
    </row>
    <row r="23" spans="1:27" ht="15" customHeight="1" thickBot="1" x14ac:dyDescent="0.3">
      <c r="A23" s="236"/>
      <c r="B23" s="239" t="s">
        <v>423</v>
      </c>
      <c r="C23" s="239"/>
      <c r="D23" s="239"/>
      <c r="E23" s="239"/>
      <c r="F23" s="239"/>
      <c r="G23" s="239"/>
      <c r="H23" s="239"/>
      <c r="I23" s="239"/>
      <c r="J23" s="239"/>
      <c r="K23" s="239"/>
      <c r="L23" s="239"/>
      <c r="M23" s="239"/>
      <c r="N23" s="236"/>
      <c r="U23" s="75"/>
      <c r="V23" s="76"/>
      <c r="W23" s="24"/>
      <c r="X23" s="24"/>
      <c r="Y23" s="75"/>
      <c r="Z23" s="76"/>
      <c r="AA23" s="24"/>
    </row>
    <row r="24" spans="1:27" ht="15" customHeight="1" thickBot="1" x14ac:dyDescent="0.3">
      <c r="A24" s="236"/>
      <c r="C24" s="160" t="s">
        <v>64</v>
      </c>
      <c r="D24" s="203">
        <v>3750</v>
      </c>
      <c r="E24" s="81"/>
      <c r="F24" s="228" t="s">
        <v>108</v>
      </c>
      <c r="G24" s="74"/>
      <c r="H24" s="228" t="s">
        <v>109</v>
      </c>
      <c r="J24" s="283" t="s">
        <v>427</v>
      </c>
      <c r="K24" s="283"/>
      <c r="L24" s="217" t="s">
        <v>431</v>
      </c>
      <c r="M24" s="74"/>
      <c r="N24" s="236"/>
      <c r="U24" s="75"/>
      <c r="V24" s="77"/>
      <c r="W24" s="24"/>
      <c r="X24" s="24"/>
      <c r="Y24" s="75"/>
      <c r="Z24" s="77"/>
      <c r="AA24" s="24"/>
    </row>
    <row r="25" spans="1:27" ht="15" customHeight="1" thickTop="1" x14ac:dyDescent="0.25">
      <c r="A25" s="236"/>
      <c r="C25" s="223" t="s">
        <v>65</v>
      </c>
      <c r="D25" s="196">
        <v>4</v>
      </c>
      <c r="E25" s="160" t="s">
        <v>117</v>
      </c>
      <c r="F25" s="197">
        <v>1.3333333333333333</v>
      </c>
      <c r="G25" s="160" t="s">
        <v>120</v>
      </c>
      <c r="H25" s="84">
        <f>IF(F25="","",F25)</f>
        <v>1.3333333333333333</v>
      </c>
      <c r="J25" s="284" t="s">
        <v>360</v>
      </c>
      <c r="K25" s="285"/>
      <c r="L25" s="214" t="s">
        <v>365</v>
      </c>
      <c r="N25" s="236"/>
      <c r="U25" s="75"/>
      <c r="V25" s="77"/>
      <c r="W25" s="24"/>
      <c r="X25" s="24"/>
      <c r="Y25" s="75"/>
      <c r="Z25" s="77"/>
      <c r="AA25" s="24"/>
    </row>
    <row r="26" spans="1:27" ht="15" customHeight="1" x14ac:dyDescent="0.25">
      <c r="A26" s="236"/>
      <c r="C26" s="223" t="s">
        <v>67</v>
      </c>
      <c r="D26" s="204">
        <v>4</v>
      </c>
      <c r="E26" s="160" t="s">
        <v>118</v>
      </c>
      <c r="F26" s="198">
        <v>2.6666666666666665</v>
      </c>
      <c r="G26" s="160" t="s">
        <v>121</v>
      </c>
      <c r="H26" s="84">
        <f>IF(F26="","",F26)</f>
        <v>2.6666666666666665</v>
      </c>
      <c r="J26" s="223" t="s">
        <v>361</v>
      </c>
      <c r="K26" s="176">
        <f>IFERROR(F26/D25,"")</f>
        <v>0.66666666666666663</v>
      </c>
      <c r="L26" s="216" t="str">
        <f>IF(K26&lt;=2,"N/A",IF(AND(K26&lt;3.5,K26&gt;2),IF($L$24="2bs/h",(2*D25)/F26,1.25-(0.125*K26)),""))</f>
        <v>N/A</v>
      </c>
      <c r="N26" s="236"/>
      <c r="U26" s="75"/>
      <c r="V26" s="77"/>
      <c r="W26" s="24"/>
      <c r="X26" s="24"/>
      <c r="Y26" s="75"/>
      <c r="Z26" s="77"/>
      <c r="AA26" s="24"/>
    </row>
    <row r="27" spans="1:27" ht="15" customHeight="1" x14ac:dyDescent="0.25">
      <c r="A27" s="236"/>
      <c r="C27" s="223" t="s">
        <v>69</v>
      </c>
      <c r="D27" s="196">
        <v>3.5</v>
      </c>
      <c r="E27" s="160" t="s">
        <v>127</v>
      </c>
      <c r="F27" s="198">
        <v>4</v>
      </c>
      <c r="G27" s="160" t="s">
        <v>119</v>
      </c>
      <c r="H27" s="84">
        <f>IF(F27="","",F27)</f>
        <v>4</v>
      </c>
      <c r="J27" s="223" t="s">
        <v>362</v>
      </c>
      <c r="K27" s="176">
        <f>IFERROR(F26/D26,"")</f>
        <v>0.66666666666666663</v>
      </c>
      <c r="L27" s="216" t="str">
        <f>IF(K27&lt;=2,"N/A",IF(AND(K27&lt;3.5,K27&gt;2),IF($L$24="2bs/h",(2*D26)/F26,1.25-(0.125*K27)),""))</f>
        <v>N/A</v>
      </c>
      <c r="N27" s="236"/>
      <c r="U27" s="75"/>
      <c r="V27" s="77"/>
      <c r="W27" s="24"/>
      <c r="X27" s="24"/>
      <c r="Y27" s="75"/>
      <c r="Z27" s="77"/>
      <c r="AA27" s="24"/>
    </row>
    <row r="28" spans="1:27" ht="15" customHeight="1" x14ac:dyDescent="0.35">
      <c r="A28" s="236"/>
      <c r="C28" s="160" t="s">
        <v>63</v>
      </c>
      <c r="D28" s="84">
        <f>IF(F25="","",SUM(F25:F27))</f>
        <v>8</v>
      </c>
      <c r="E28" s="223" t="s">
        <v>66</v>
      </c>
      <c r="F28" s="198">
        <v>6</v>
      </c>
      <c r="G28" s="223" t="s">
        <v>68</v>
      </c>
      <c r="H28" s="198">
        <v>2</v>
      </c>
      <c r="J28" s="223" t="s">
        <v>363</v>
      </c>
      <c r="K28" s="176">
        <f>IFERROR(H26/D27,"")</f>
        <v>0.76190476190476186</v>
      </c>
      <c r="L28" s="216" t="str">
        <f>IF(K28&lt;=2,"N/A",IF(AND(K28&lt;3.5,K28&gt;2),IF($L$24="2bs/h",(2*D27)/H26,1.25-(0.125*K28)),""))</f>
        <v>N/A</v>
      </c>
      <c r="N28" s="236"/>
      <c r="U28" s="24"/>
      <c r="V28" s="24"/>
      <c r="W28" s="24"/>
      <c r="X28" s="24"/>
      <c r="Y28" s="24"/>
      <c r="Z28" s="24"/>
      <c r="AA28" s="24"/>
    </row>
    <row r="29" spans="1:27" ht="15" customHeight="1" x14ac:dyDescent="0.35">
      <c r="A29" s="236"/>
      <c r="C29" s="223" t="s">
        <v>78</v>
      </c>
      <c r="D29" s="84">
        <f>IF(D25="","",D25+D26+D27+F28+H28)</f>
        <v>19.5</v>
      </c>
      <c r="E29" s="24"/>
      <c r="J29" s="249" t="str">
        <f>IF(MAX(K26:K28)&gt;3.5,"No Good. Aspect Ratios &gt; 3.5","")</f>
        <v/>
      </c>
      <c r="K29" s="249"/>
      <c r="L29" s="249"/>
      <c r="M29" s="221"/>
      <c r="N29" s="236"/>
      <c r="U29" s="24"/>
      <c r="V29" s="24"/>
      <c r="W29" s="24"/>
    </row>
    <row r="30" spans="1:27" ht="15" customHeight="1" x14ac:dyDescent="0.25">
      <c r="A30" s="236"/>
      <c r="N30" s="236"/>
      <c r="U30" s="24"/>
      <c r="V30" s="24"/>
      <c r="W30" s="24"/>
    </row>
    <row r="31" spans="1:27" ht="15" customHeight="1" x14ac:dyDescent="0.35">
      <c r="A31" s="236"/>
      <c r="C31" s="78" t="s">
        <v>356</v>
      </c>
      <c r="D31" s="78"/>
      <c r="E31" s="78"/>
      <c r="F31" s="78"/>
      <c r="G31" s="127">
        <f>IFERROR(D24*D28/D29,"")</f>
        <v>1538.4615384615386</v>
      </c>
      <c r="H31" s="43"/>
      <c r="I31" s="89" t="s">
        <v>1</v>
      </c>
      <c r="J31" s="5"/>
      <c r="K31" s="5"/>
      <c r="L31" s="5"/>
      <c r="N31" s="236"/>
      <c r="U31" s="24"/>
      <c r="V31" s="24"/>
      <c r="W31" s="24"/>
    </row>
    <row r="32" spans="1:27" ht="15" customHeight="1" x14ac:dyDescent="0.25">
      <c r="A32" s="236"/>
      <c r="C32" s="46" t="s">
        <v>4</v>
      </c>
      <c r="D32" s="46"/>
      <c r="E32" s="46"/>
      <c r="F32" s="46"/>
      <c r="G32" s="88"/>
      <c r="I32" s="278" t="s">
        <v>91</v>
      </c>
      <c r="J32" s="278"/>
      <c r="K32" s="278"/>
      <c r="L32" s="86">
        <f>IFERROR(((D24/D29)*(D25+G47))/D25,"")</f>
        <v>336.53846153846155</v>
      </c>
      <c r="N32" s="236"/>
      <c r="U32" s="24"/>
      <c r="V32" s="24"/>
      <c r="W32" s="24"/>
    </row>
    <row r="33" spans="1:23" ht="15" customHeight="1" x14ac:dyDescent="0.25">
      <c r="A33" s="236"/>
      <c r="C33" s="278" t="s">
        <v>131</v>
      </c>
      <c r="D33" s="278"/>
      <c r="E33" s="278"/>
      <c r="F33" s="278"/>
      <c r="G33" s="87">
        <f>IF(D24=0,"",IF(OR(F25=0,F27=0),"N/A",G31/(F25+F27)))</f>
        <v>288.46153846153851</v>
      </c>
      <c r="I33" s="275" t="s">
        <v>92</v>
      </c>
      <c r="J33" s="275"/>
      <c r="K33" s="275"/>
      <c r="L33" s="86">
        <f>IFERROR(((D24/D29)*(D26+G48+G49))/D26,"")</f>
        <v>387.82051282051282</v>
      </c>
      <c r="N33" s="236"/>
      <c r="U33" s="24"/>
      <c r="V33" s="24"/>
      <c r="W33" s="24"/>
    </row>
    <row r="34" spans="1:23" ht="15" customHeight="1" x14ac:dyDescent="0.25">
      <c r="A34" s="236"/>
      <c r="C34" s="275" t="s">
        <v>132</v>
      </c>
      <c r="D34" s="275"/>
      <c r="E34" s="275"/>
      <c r="F34" s="275"/>
      <c r="G34" s="87">
        <f>IF(D24=0,"",IF(OR(F25=0,F27=0),"N/A",G31/(H25+H27)))</f>
        <v>288.46153846153851</v>
      </c>
      <c r="I34" s="275" t="s">
        <v>171</v>
      </c>
      <c r="J34" s="275"/>
      <c r="K34" s="275"/>
      <c r="L34" s="86">
        <f>IFERROR(((D24/D29)*(G50+D27))/D27,"")</f>
        <v>243.58974358974362</v>
      </c>
      <c r="N34" s="236"/>
      <c r="U34" s="24"/>
      <c r="V34" s="24"/>
      <c r="W34" s="24"/>
    </row>
    <row r="35" spans="1:23" ht="15" customHeight="1" x14ac:dyDescent="0.25">
      <c r="A35" s="236"/>
      <c r="C35" s="275"/>
      <c r="D35" s="275"/>
      <c r="E35" s="275"/>
      <c r="F35" s="275"/>
      <c r="G35" s="87"/>
      <c r="I35" s="275" t="s">
        <v>172</v>
      </c>
      <c r="J35" s="275"/>
      <c r="K35" s="275"/>
      <c r="L35" s="127">
        <f>IFERROR(L32*$D$25+L33*$D$26+L34*$D$27,"")</f>
        <v>3750</v>
      </c>
      <c r="M35" s="227" t="str">
        <f>IF(D24=0,"",IF(L35=D24,"OK","NO GOOD"))</f>
        <v>OK</v>
      </c>
      <c r="N35" s="236"/>
      <c r="U35" s="24"/>
      <c r="V35" s="24"/>
      <c r="W35" s="24"/>
    </row>
    <row r="36" spans="1:23" ht="15" customHeight="1" x14ac:dyDescent="0.25">
      <c r="A36" s="236"/>
      <c r="C36" s="46" t="s">
        <v>0</v>
      </c>
      <c r="D36" s="46"/>
      <c r="E36" s="46"/>
      <c r="F36" s="46"/>
      <c r="G36" s="5"/>
      <c r="H36" s="74"/>
      <c r="N36" s="236"/>
      <c r="U36" s="24"/>
      <c r="V36" s="24"/>
      <c r="W36" s="24"/>
    </row>
    <row r="37" spans="1:23" ht="15" customHeight="1" x14ac:dyDescent="0.25">
      <c r="A37" s="236"/>
      <c r="F37" s="223" t="s">
        <v>105</v>
      </c>
      <c r="G37" s="127">
        <f>IFERROR(G33*F28,"")</f>
        <v>1730.7692307692309</v>
      </c>
      <c r="I37" s="89" t="s">
        <v>2</v>
      </c>
      <c r="J37" s="5"/>
      <c r="K37" s="5"/>
      <c r="L37" s="5"/>
      <c r="N37" s="236"/>
      <c r="U37" s="24"/>
      <c r="V37" s="24"/>
      <c r="W37" s="24"/>
    </row>
    <row r="38" spans="1:23" ht="15" customHeight="1" x14ac:dyDescent="0.25">
      <c r="A38" s="236"/>
      <c r="F38" s="223" t="s">
        <v>106</v>
      </c>
      <c r="G38" s="127">
        <f>IFERROR(G34*H28,"")</f>
        <v>576.92307692307702</v>
      </c>
      <c r="J38" s="223"/>
      <c r="K38" s="223" t="s">
        <v>369</v>
      </c>
      <c r="L38" s="127">
        <f>IFERROR(L32*D25,"")</f>
        <v>1346.1538461538462</v>
      </c>
      <c r="N38" s="236"/>
      <c r="U38" s="24"/>
      <c r="V38" s="24"/>
      <c r="W38" s="24"/>
    </row>
    <row r="39" spans="1:23" ht="15" customHeight="1" x14ac:dyDescent="0.25">
      <c r="A39" s="236"/>
      <c r="F39" s="223"/>
      <c r="G39" s="83"/>
      <c r="H39" s="43"/>
      <c r="J39" s="223"/>
      <c r="K39" s="223" t="s">
        <v>368</v>
      </c>
      <c r="L39" s="127">
        <f>IFERROR(L33*D26,"")</f>
        <v>1551.2820512820513</v>
      </c>
      <c r="N39" s="236"/>
      <c r="U39" s="24"/>
      <c r="V39" s="24"/>
      <c r="W39" s="24"/>
    </row>
    <row r="40" spans="1:23" ht="15" customHeight="1" x14ac:dyDescent="0.25">
      <c r="A40" s="236"/>
      <c r="C40" s="46" t="s">
        <v>354</v>
      </c>
      <c r="D40" s="46"/>
      <c r="E40" s="46"/>
      <c r="F40" s="46"/>
      <c r="G40" s="5"/>
      <c r="H40" s="43"/>
      <c r="J40" s="223"/>
      <c r="K40" s="223" t="s">
        <v>367</v>
      </c>
      <c r="L40" s="127">
        <f>IFERROR(L34*D27,"")</f>
        <v>852.56410256410265</v>
      </c>
      <c r="N40" s="236"/>
      <c r="U40" s="24"/>
      <c r="V40" s="24"/>
      <c r="W40" s="24"/>
    </row>
    <row r="41" spans="1:23" ht="15" customHeight="1" x14ac:dyDescent="0.25">
      <c r="A41" s="236"/>
      <c r="F41" s="223" t="s">
        <v>72</v>
      </c>
      <c r="G41" s="127">
        <f>IFERROR((G37*D25)/(D25+D26),"")</f>
        <v>865.38461538461547</v>
      </c>
      <c r="H41" s="43"/>
      <c r="J41" s="223"/>
      <c r="K41" s="223"/>
      <c r="L41" s="83"/>
      <c r="N41" s="236"/>
      <c r="U41" s="24"/>
      <c r="V41" s="24"/>
      <c r="W41" s="24"/>
    </row>
    <row r="42" spans="1:23" ht="15" customHeight="1" x14ac:dyDescent="0.25">
      <c r="A42" s="236"/>
      <c r="F42" s="223" t="s">
        <v>73</v>
      </c>
      <c r="G42" s="127">
        <f>IFERROR(G37*D26/(D25+D26),"")</f>
        <v>865.38461538461547</v>
      </c>
      <c r="I42" s="89" t="s">
        <v>355</v>
      </c>
      <c r="J42" s="5"/>
      <c r="K42" s="5"/>
      <c r="L42" s="5"/>
      <c r="N42" s="236"/>
      <c r="U42" s="24"/>
      <c r="V42" s="24"/>
      <c r="W42" s="24"/>
    </row>
    <row r="43" spans="1:23" ht="15" customHeight="1" x14ac:dyDescent="0.25">
      <c r="A43" s="236"/>
      <c r="F43" s="223" t="s">
        <v>74</v>
      </c>
      <c r="G43" s="127">
        <f>IFERROR(G38*D26/(D26+D27),"")</f>
        <v>307.69230769230774</v>
      </c>
      <c r="J43" s="223"/>
      <c r="K43" s="223" t="s">
        <v>101</v>
      </c>
      <c r="L43" s="127">
        <f>IFERROR(L38-G41,"")</f>
        <v>480.76923076923072</v>
      </c>
      <c r="N43" s="236"/>
      <c r="U43" s="24"/>
      <c r="V43" s="24"/>
      <c r="W43" s="24"/>
    </row>
    <row r="44" spans="1:23" ht="15" customHeight="1" x14ac:dyDescent="0.25">
      <c r="A44" s="236"/>
      <c r="F44" s="223" t="s">
        <v>75</v>
      </c>
      <c r="G44" s="127">
        <f>IFERROR(G38*D27/(D26+D27),"")</f>
        <v>269.23076923076928</v>
      </c>
      <c r="H44" s="43"/>
      <c r="J44" s="223"/>
      <c r="K44" s="223" t="s">
        <v>102</v>
      </c>
      <c r="L44" s="127">
        <f>IFERROR(L39-G42-G43,"")</f>
        <v>378.20512820512806</v>
      </c>
      <c r="N44" s="236"/>
      <c r="U44" s="24"/>
      <c r="V44" s="24"/>
      <c r="W44" s="24"/>
    </row>
    <row r="45" spans="1:23" ht="15" customHeight="1" x14ac:dyDescent="0.25">
      <c r="A45" s="236"/>
      <c r="F45" s="223"/>
      <c r="G45" s="83"/>
      <c r="H45" s="43"/>
      <c r="J45" s="223"/>
      <c r="K45" s="223" t="s">
        <v>173</v>
      </c>
      <c r="L45" s="127">
        <f>IFERROR(L40-G44,"")</f>
        <v>583.33333333333337</v>
      </c>
      <c r="N45" s="236"/>
      <c r="U45" s="24"/>
      <c r="V45" s="24"/>
      <c r="W45" s="24"/>
    </row>
    <row r="46" spans="1:23" ht="15" customHeight="1" x14ac:dyDescent="0.25">
      <c r="A46" s="236"/>
      <c r="C46" s="46" t="s">
        <v>128</v>
      </c>
      <c r="D46" s="46"/>
      <c r="E46" s="46"/>
      <c r="F46" s="46"/>
      <c r="G46" s="5"/>
      <c r="H46" s="43"/>
      <c r="J46" s="223"/>
      <c r="K46" s="223"/>
      <c r="L46" s="83"/>
      <c r="N46" s="236"/>
      <c r="O46" s="3"/>
      <c r="P46" s="4"/>
      <c r="Q46" s="4"/>
      <c r="R46" s="4"/>
      <c r="S46" s="4"/>
      <c r="U46" s="24"/>
      <c r="V46" s="24"/>
      <c r="W46" s="24"/>
    </row>
    <row r="47" spans="1:23" ht="15" customHeight="1" x14ac:dyDescent="0.25">
      <c r="A47" s="236"/>
      <c r="F47" s="223" t="s">
        <v>95</v>
      </c>
      <c r="G47" s="85">
        <f>IFERROR(D25*F28/(D25+D26),"")</f>
        <v>3</v>
      </c>
      <c r="H47" s="43"/>
      <c r="I47" s="89" t="s">
        <v>3</v>
      </c>
      <c r="J47" s="5"/>
      <c r="K47" s="5"/>
      <c r="L47" s="5"/>
      <c r="N47" s="236"/>
      <c r="O47" s="3"/>
      <c r="P47" s="4"/>
      <c r="Q47" s="4"/>
      <c r="R47" s="4"/>
      <c r="S47" s="4"/>
      <c r="U47" s="24"/>
      <c r="V47" s="24"/>
      <c r="W47" s="24"/>
    </row>
    <row r="48" spans="1:23" ht="15" customHeight="1" x14ac:dyDescent="0.25">
      <c r="A48" s="236"/>
      <c r="F48" s="223" t="s">
        <v>96</v>
      </c>
      <c r="G48" s="85">
        <f>IFERROR(D26*F28/(D25+D26),"")</f>
        <v>3</v>
      </c>
      <c r="H48" s="43"/>
      <c r="J48" s="223"/>
      <c r="K48" s="223" t="s">
        <v>111</v>
      </c>
      <c r="L48" s="86">
        <f>IFERROR(L43/D25,"")</f>
        <v>120.19230769230768</v>
      </c>
      <c r="N48" s="236"/>
      <c r="U48" s="24"/>
      <c r="V48" s="75"/>
      <c r="W48" s="76"/>
    </row>
    <row r="49" spans="1:23" ht="15" customHeight="1" x14ac:dyDescent="0.25">
      <c r="A49" s="236"/>
      <c r="F49" s="223" t="s">
        <v>97</v>
      </c>
      <c r="G49" s="85">
        <f>IFERROR(D26*H28/(D26+D27),"")</f>
        <v>1.0666666666666667</v>
      </c>
      <c r="H49" s="43"/>
      <c r="J49" s="223"/>
      <c r="K49" s="223" t="s">
        <v>112</v>
      </c>
      <c r="L49" s="86">
        <f>IFERROR(L44/D26,"")</f>
        <v>94.551282051282016</v>
      </c>
      <c r="N49" s="236"/>
      <c r="U49" s="24"/>
      <c r="V49" s="24"/>
      <c r="W49" s="24"/>
    </row>
    <row r="50" spans="1:23" ht="15" customHeight="1" x14ac:dyDescent="0.25">
      <c r="A50" s="236"/>
      <c r="F50" s="223" t="s">
        <v>98</v>
      </c>
      <c r="G50" s="85">
        <f>IFERROR(D27*H28/(D26+D27),"")</f>
        <v>0.93333333333333335</v>
      </c>
      <c r="J50" s="223"/>
      <c r="K50" s="223" t="s">
        <v>174</v>
      </c>
      <c r="L50" s="86">
        <f>IFERROR(L45/D27,"")</f>
        <v>166.66666666666669</v>
      </c>
      <c r="N50" s="236"/>
      <c r="U50" s="24"/>
      <c r="V50" s="24"/>
      <c r="W50" s="24"/>
    </row>
    <row r="51" spans="1:23" ht="15" customHeight="1" x14ac:dyDescent="0.25">
      <c r="A51" s="236"/>
      <c r="F51" s="223"/>
      <c r="G51" s="85"/>
      <c r="H51" s="43"/>
      <c r="N51" s="236"/>
      <c r="O51" s="1"/>
      <c r="U51" s="24"/>
      <c r="V51" s="24"/>
      <c r="W51" s="24"/>
    </row>
    <row r="52" spans="1:23" ht="15" customHeight="1" x14ac:dyDescent="0.25">
      <c r="A52" s="236"/>
      <c r="H52" s="43"/>
      <c r="J52" s="226"/>
      <c r="K52" s="225"/>
      <c r="L52" s="91"/>
      <c r="N52" s="236"/>
      <c r="U52" s="24"/>
      <c r="V52" s="24"/>
      <c r="W52" s="24"/>
    </row>
    <row r="53" spans="1:23" ht="15" customHeight="1" x14ac:dyDescent="0.25">
      <c r="A53" s="236"/>
      <c r="N53" s="236"/>
    </row>
    <row r="54" spans="1:23" ht="15" customHeight="1" x14ac:dyDescent="0.25">
      <c r="A54" s="236"/>
      <c r="N54" s="236"/>
    </row>
    <row r="55" spans="1:23" ht="15" customHeight="1" x14ac:dyDescent="0.25">
      <c r="A55" s="236"/>
      <c r="N55" s="236"/>
      <c r="T55" s="80"/>
      <c r="U55" s="80"/>
      <c r="V55" s="80"/>
      <c r="W55" s="79"/>
    </row>
    <row r="56" spans="1:23" ht="15" customHeight="1" x14ac:dyDescent="0.25">
      <c r="A56" s="236"/>
      <c r="N56" s="236"/>
      <c r="T56" s="80"/>
      <c r="U56" s="80"/>
      <c r="V56" s="80"/>
      <c r="W56" s="79"/>
    </row>
    <row r="57" spans="1:23" ht="15" customHeight="1" x14ac:dyDescent="0.25">
      <c r="A57" s="236"/>
      <c r="N57" s="236"/>
      <c r="T57" s="80"/>
      <c r="U57" s="80"/>
      <c r="V57" s="80"/>
      <c r="W57" s="79"/>
    </row>
    <row r="58" spans="1:23" ht="15" customHeight="1" x14ac:dyDescent="0.25">
      <c r="A58" s="236"/>
      <c r="K58" s="223"/>
      <c r="N58" s="236"/>
      <c r="T58" s="80"/>
      <c r="U58" s="80"/>
      <c r="V58" s="80"/>
      <c r="W58" s="79"/>
    </row>
    <row r="59" spans="1:23" ht="15" customHeight="1" x14ac:dyDescent="0.25">
      <c r="A59" s="236"/>
      <c r="N59" s="236"/>
      <c r="T59" s="80"/>
      <c r="U59" s="80"/>
      <c r="V59" s="80"/>
      <c r="W59" s="21"/>
    </row>
    <row r="60" spans="1:23" ht="15" customHeight="1" x14ac:dyDescent="0.25">
      <c r="A60" s="236"/>
      <c r="N60" s="236"/>
      <c r="T60" s="80"/>
      <c r="U60" s="80"/>
      <c r="V60" s="80"/>
      <c r="W60" s="79"/>
    </row>
    <row r="61" spans="1:23" ht="15" customHeight="1" x14ac:dyDescent="0.25">
      <c r="A61" s="236"/>
      <c r="N61" s="236"/>
      <c r="T61" s="21"/>
      <c r="U61" s="21"/>
      <c r="V61" s="21"/>
      <c r="W61" s="79"/>
    </row>
    <row r="62" spans="1:23" ht="15" customHeight="1" x14ac:dyDescent="0.25">
      <c r="A62" s="236"/>
      <c r="N62" s="236"/>
      <c r="S62" s="21"/>
      <c r="T62" s="21"/>
      <c r="U62" s="21"/>
      <c r="V62" s="21"/>
      <c r="W62" s="21"/>
    </row>
    <row r="63" spans="1:23" ht="15" customHeight="1" x14ac:dyDescent="0.25">
      <c r="A63" s="236"/>
      <c r="N63" s="236"/>
      <c r="S63" s="21"/>
      <c r="T63" s="21"/>
      <c r="U63" s="21"/>
      <c r="V63" s="21"/>
      <c r="W63" s="21"/>
    </row>
    <row r="64" spans="1:23" ht="15.75" customHeight="1" thickBot="1" x14ac:dyDescent="0.3">
      <c r="A64" s="236"/>
      <c r="B64" s="53" t="s">
        <v>80</v>
      </c>
      <c r="D64" s="53"/>
      <c r="E64" s="53"/>
      <c r="F64" s="53"/>
      <c r="G64" s="53"/>
      <c r="H64" s="53"/>
      <c r="I64" s="53"/>
      <c r="N64" s="236"/>
      <c r="S64" s="21"/>
      <c r="T64" s="21"/>
      <c r="U64" s="21"/>
      <c r="V64" s="21"/>
      <c r="W64" s="21"/>
    </row>
    <row r="65" spans="1:23" ht="15" customHeight="1" x14ac:dyDescent="0.25">
      <c r="A65" s="236"/>
      <c r="B65" s="47" t="s">
        <v>115</v>
      </c>
      <c r="C65" s="48"/>
      <c r="D65" s="48"/>
      <c r="E65" s="48"/>
      <c r="F65" s="48"/>
      <c r="G65" s="48"/>
      <c r="H65" s="48"/>
      <c r="I65" s="48"/>
      <c r="J65" s="48"/>
      <c r="K65" s="50">
        <f>IFERROR($L$48*($F$25+$F$27),"")</f>
        <v>641.02564102564088</v>
      </c>
      <c r="L65" s="50">
        <f>IFERROR($L$32*($F$26),"")</f>
        <v>897.43589743589746</v>
      </c>
      <c r="M65" s="128">
        <f>IFERROR(L65+K65,"")</f>
        <v>1538.4615384615383</v>
      </c>
      <c r="N65" s="236"/>
      <c r="S65" s="21"/>
      <c r="T65" s="21"/>
      <c r="U65" s="21"/>
      <c r="V65" s="21"/>
      <c r="W65" s="21"/>
    </row>
    <row r="66" spans="1:23" ht="15" customHeight="1" x14ac:dyDescent="0.25">
      <c r="A66" s="236"/>
      <c r="B66" s="49" t="s">
        <v>116</v>
      </c>
      <c r="C66" s="3"/>
      <c r="D66" s="3"/>
      <c r="E66" s="3"/>
      <c r="F66" s="3"/>
      <c r="G66" s="3"/>
      <c r="H66" s="3"/>
      <c r="I66" s="3"/>
      <c r="J66" s="23">
        <f>IFERROR($G$33*($F$25+$F$27),"")</f>
        <v>1538.4615384615386</v>
      </c>
      <c r="K66" s="23">
        <f>IFERROR($L$48*($F$25+$F$27),"")</f>
        <v>641.02564102564088</v>
      </c>
      <c r="L66" s="23">
        <f>IFERROR($L$32*$F$26,"")</f>
        <v>897.43589743589746</v>
      </c>
      <c r="M66" s="90">
        <f>IFERROR(J66-K66-L66,"")</f>
        <v>2.2737367544323206E-13</v>
      </c>
      <c r="N66" s="236"/>
      <c r="S66" s="21"/>
      <c r="T66" s="21"/>
      <c r="U66" s="21"/>
      <c r="V66" s="21"/>
      <c r="W66" s="21"/>
    </row>
    <row r="67" spans="1:23" ht="15" customHeight="1" x14ac:dyDescent="0.25">
      <c r="A67" s="236"/>
      <c r="B67" s="49" t="s">
        <v>134</v>
      </c>
      <c r="C67" s="3"/>
      <c r="D67" s="3"/>
      <c r="E67" s="3"/>
      <c r="F67" s="3"/>
      <c r="G67" s="3"/>
      <c r="H67" s="3"/>
      <c r="I67" s="23"/>
      <c r="J67" s="23">
        <f>IFERROR($L$49*($F$25+$F$27),"")</f>
        <v>504.27350427350405</v>
      </c>
      <c r="K67" s="23">
        <f>IFERROR($L$33*($F$26),"")</f>
        <v>1034.1880341880342</v>
      </c>
      <c r="L67" s="23">
        <f>IFERROR($G$33*($F$25+$F$27),"")</f>
        <v>1538.4615384615386</v>
      </c>
      <c r="M67" s="90">
        <f>IFERROR(J67+K67-L67,"")</f>
        <v>-4.5474735088646412E-13</v>
      </c>
      <c r="N67" s="236"/>
      <c r="S67" s="21"/>
      <c r="T67" s="21"/>
      <c r="U67" s="21"/>
      <c r="V67" s="21"/>
      <c r="W67" s="21"/>
    </row>
    <row r="68" spans="1:23" ht="15" customHeight="1" x14ac:dyDescent="0.25">
      <c r="A68" s="236"/>
      <c r="B68" s="49" t="s">
        <v>135</v>
      </c>
      <c r="C68" s="3"/>
      <c r="D68" s="3"/>
      <c r="E68" s="3"/>
      <c r="F68" s="3"/>
      <c r="G68" s="3"/>
      <c r="H68" s="3"/>
      <c r="I68" s="23"/>
      <c r="J68" s="23">
        <f>IFERROR($G$34*($H$25+$H$27),"")</f>
        <v>1538.4615384615386</v>
      </c>
      <c r="K68" s="23">
        <f>IFERROR($L$33*($H$26),"")</f>
        <v>1034.1880341880342</v>
      </c>
      <c r="L68" s="23">
        <f>IFERROR($L$49*($H$25+$H$27),"")</f>
        <v>504.27350427350405</v>
      </c>
      <c r="M68" s="90">
        <f>IFERROR(I68+J68-K68-L68,"")</f>
        <v>3.4106051316484809E-13</v>
      </c>
      <c r="N68" s="236"/>
      <c r="S68" s="21"/>
      <c r="T68" s="21"/>
      <c r="U68" s="21"/>
      <c r="V68" s="21"/>
      <c r="W68" s="21"/>
    </row>
    <row r="69" spans="1:23" ht="15" customHeight="1" x14ac:dyDescent="0.25">
      <c r="A69" s="236"/>
      <c r="B69" s="49" t="s">
        <v>126</v>
      </c>
      <c r="C69" s="3"/>
      <c r="D69" s="3"/>
      <c r="E69" s="3"/>
      <c r="F69" s="3"/>
      <c r="G69" s="3"/>
      <c r="H69" s="3"/>
      <c r="I69" s="3"/>
      <c r="J69" s="23">
        <f>IFERROR($G$34*($H$25+$H$27),"")</f>
        <v>1538.4615384615386</v>
      </c>
      <c r="K69" s="23">
        <f>IFERROR($L$50*($H$25+$H$27),"")</f>
        <v>888.88888888888891</v>
      </c>
      <c r="L69" s="23">
        <f>IFERROR($L$34*$H$26,"")</f>
        <v>649.57264957264965</v>
      </c>
      <c r="M69" s="90">
        <f>IFERROR(J69-K69-L69,"")</f>
        <v>0</v>
      </c>
      <c r="N69" s="236"/>
      <c r="S69" s="21"/>
      <c r="T69" s="21"/>
      <c r="U69" s="21"/>
      <c r="V69" s="21"/>
      <c r="W69" s="21"/>
    </row>
    <row r="70" spans="1:23" ht="15.75" customHeight="1" thickBot="1" x14ac:dyDescent="0.3">
      <c r="A70" s="236"/>
      <c r="B70" s="9" t="s">
        <v>125</v>
      </c>
      <c r="C70" s="8"/>
      <c r="D70" s="8"/>
      <c r="E70" s="8"/>
      <c r="F70" s="8"/>
      <c r="G70" s="8"/>
      <c r="H70" s="8"/>
      <c r="I70" s="8"/>
      <c r="J70" s="8"/>
      <c r="K70" s="51">
        <f>IFERROR($L$50*($H$25+$H$27),"")</f>
        <v>888.88888888888891</v>
      </c>
      <c r="L70" s="51">
        <f>IFERROR($L$34*$H$26,"")</f>
        <v>649.57264957264965</v>
      </c>
      <c r="M70" s="129">
        <f>IFERROR(K70+L70,"")</f>
        <v>1538.4615384615386</v>
      </c>
      <c r="N70" s="236"/>
      <c r="S70" s="21"/>
      <c r="T70" s="21"/>
      <c r="U70" s="21"/>
      <c r="V70" s="21"/>
      <c r="W70" s="21"/>
    </row>
    <row r="71" spans="1:23" ht="15" customHeight="1" x14ac:dyDescent="0.25">
      <c r="A71" s="236"/>
      <c r="N71" s="236"/>
      <c r="S71" s="21"/>
      <c r="T71" s="21"/>
      <c r="U71" s="21"/>
      <c r="V71" s="21"/>
      <c r="W71" s="21"/>
    </row>
    <row r="72" spans="1:23" ht="21.75" customHeight="1" thickBot="1" x14ac:dyDescent="0.4">
      <c r="A72" s="236"/>
      <c r="B72" s="276" t="s">
        <v>137</v>
      </c>
      <c r="C72" s="276"/>
      <c r="D72" s="276"/>
      <c r="E72" s="276"/>
      <c r="F72" s="276"/>
      <c r="G72" s="276"/>
      <c r="H72" s="276"/>
      <c r="I72" s="276"/>
      <c r="J72" s="276"/>
      <c r="K72" s="276"/>
      <c r="L72" s="276"/>
      <c r="M72" s="276"/>
      <c r="N72" s="236"/>
    </row>
    <row r="73" spans="1:23" ht="15" customHeight="1" x14ac:dyDescent="0.25">
      <c r="A73" s="236"/>
      <c r="B73" s="262" t="s">
        <v>164</v>
      </c>
      <c r="C73" s="262"/>
      <c r="D73" s="262"/>
      <c r="E73" s="178">
        <f>IFERROR(IF(G33="N/A","N/A",MAX(IF(L26="N/A",L32,L32*(1/L26)),IF(L27="N/A",L33,L33*(1/L27)),IF(L28="N/A",L34,L34*(1/L28)),G33:G34)),"")</f>
        <v>387.82051282051282</v>
      </c>
      <c r="F73" s="262" t="s">
        <v>138</v>
      </c>
      <c r="G73" s="262"/>
      <c r="H73" s="277"/>
      <c r="I73" s="142">
        <f>IFERROR(L118,"")</f>
        <v>0.31666642617308721</v>
      </c>
      <c r="J73" s="282" t="s">
        <v>139</v>
      </c>
      <c r="K73" s="262"/>
      <c r="L73" s="277"/>
      <c r="M73" s="143">
        <f>IFERROR(J150,"")</f>
        <v>0.35221985563223274</v>
      </c>
      <c r="N73" s="236"/>
    </row>
    <row r="74" spans="1:23" ht="15.75" customHeight="1" thickBot="1" x14ac:dyDescent="0.3">
      <c r="A74" s="236"/>
      <c r="B74" s="262" t="s">
        <v>90</v>
      </c>
      <c r="C74" s="262"/>
      <c r="D74" s="262"/>
      <c r="E74" s="130">
        <f>IF(G41="","",MAX(G41:G44))</f>
        <v>865.38461538461547</v>
      </c>
      <c r="F74" s="262" t="s">
        <v>140</v>
      </c>
      <c r="G74" s="262"/>
      <c r="H74" s="277"/>
      <c r="I74" s="97">
        <f>IFERROR(L119,"")</f>
        <v>1.3194434423878633E-2</v>
      </c>
      <c r="J74" s="261" t="s">
        <v>141</v>
      </c>
      <c r="K74" s="261"/>
      <c r="L74" s="277"/>
      <c r="M74" s="97">
        <f>IFERROR(J151,"")</f>
        <v>1.4675827318009697E-2</v>
      </c>
      <c r="N74" s="236"/>
    </row>
    <row r="75" spans="1:23" ht="15.75" customHeight="1" x14ac:dyDescent="0.25">
      <c r="A75" s="236"/>
      <c r="B75" s="261" t="s">
        <v>89</v>
      </c>
      <c r="C75" s="261"/>
      <c r="D75" s="262"/>
      <c r="E75" s="208">
        <f>G31</f>
        <v>1538.4615384615386</v>
      </c>
      <c r="I75" s="118" t="s">
        <v>157</v>
      </c>
      <c r="J75" s="118"/>
      <c r="K75" s="119"/>
      <c r="L75" s="119"/>
      <c r="M75" s="117" t="s">
        <v>158</v>
      </c>
      <c r="N75" s="236"/>
    </row>
    <row r="76" spans="1:23" ht="15" customHeight="1" thickBot="1" x14ac:dyDescent="0.3">
      <c r="A76" s="236"/>
      <c r="B76" s="263" t="s">
        <v>420</v>
      </c>
      <c r="C76" s="263"/>
      <c r="D76" s="263"/>
      <c r="E76" s="209">
        <f>IFERROR(D24/D29,"")</f>
        <v>192.30769230769232</v>
      </c>
      <c r="F76" s="3"/>
      <c r="G76" s="264" t="str">
        <f>IF(E73="","",IF(E73&gt;MAX(G33:G34,L32:L34),"Req. Sheathing Capacity has been adjusted per the Aspect Ratio Factor in SDPWS 4.3.4.2",""))</f>
        <v/>
      </c>
      <c r="H76" s="264"/>
      <c r="I76" s="264"/>
      <c r="J76" s="264"/>
      <c r="K76" s="264"/>
      <c r="L76" s="264"/>
      <c r="M76" s="264"/>
      <c r="N76" s="236"/>
    </row>
    <row r="77" spans="1:23" ht="15" customHeight="1" x14ac:dyDescent="0.25">
      <c r="A77" s="236"/>
      <c r="B77" s="224"/>
      <c r="C77" s="3"/>
      <c r="D77" s="3"/>
      <c r="E77" s="3"/>
      <c r="F77" s="3"/>
      <c r="G77" s="3"/>
      <c r="H77" s="3"/>
      <c r="I77" s="3"/>
      <c r="J77" s="3"/>
      <c r="K77" s="3"/>
      <c r="N77" s="236"/>
    </row>
    <row r="78" spans="1:23" ht="15.75" customHeight="1" thickBot="1" x14ac:dyDescent="0.3">
      <c r="A78" s="236"/>
      <c r="B78" s="259" t="s">
        <v>424</v>
      </c>
      <c r="C78" s="259"/>
      <c r="D78" s="259"/>
      <c r="E78" s="259"/>
      <c r="F78" s="8"/>
      <c r="G78" s="8"/>
      <c r="H78" s="8"/>
      <c r="I78" s="8"/>
      <c r="J78" s="8"/>
      <c r="K78" s="8"/>
      <c r="L78" s="8"/>
      <c r="M78" s="8"/>
      <c r="N78" s="236"/>
    </row>
    <row r="79" spans="1:23" ht="15" customHeight="1" x14ac:dyDescent="0.25">
      <c r="A79" s="236"/>
      <c r="B79" s="265" t="s">
        <v>33</v>
      </c>
      <c r="C79" s="265"/>
      <c r="D79" s="3"/>
      <c r="E79" s="3"/>
      <c r="F79" s="266" t="s">
        <v>147</v>
      </c>
      <c r="G79" s="266"/>
      <c r="H79" s="266"/>
      <c r="J79" s="54" t="s">
        <v>403</v>
      </c>
      <c r="K79" s="202" t="s">
        <v>162</v>
      </c>
      <c r="L79" s="3" t="s">
        <v>81</v>
      </c>
      <c r="M79" s="3"/>
      <c r="N79" s="236"/>
    </row>
    <row r="80" spans="1:23" ht="15" customHeight="1" x14ac:dyDescent="0.25">
      <c r="A80" s="236"/>
      <c r="B80" s="267" t="s">
        <v>148</v>
      </c>
      <c r="C80" s="267"/>
      <c r="D80" s="3" t="s">
        <v>154</v>
      </c>
      <c r="E80" s="3"/>
      <c r="F80" s="54" t="s">
        <v>186</v>
      </c>
      <c r="G80" s="268" t="s">
        <v>434</v>
      </c>
      <c r="H80" s="269"/>
      <c r="M80" s="3"/>
      <c r="N80" s="236"/>
    </row>
    <row r="81" spans="1:15" ht="15" customHeight="1" x14ac:dyDescent="0.25">
      <c r="A81" s="236"/>
      <c r="B81" s="270" t="s">
        <v>205</v>
      </c>
      <c r="C81" s="270"/>
      <c r="D81" s="103" t="s">
        <v>155</v>
      </c>
      <c r="E81" s="3"/>
      <c r="F81" s="54" t="s">
        <v>28</v>
      </c>
      <c r="G81" s="205">
        <v>1600000</v>
      </c>
      <c r="H81" s="3" t="s">
        <v>27</v>
      </c>
      <c r="K81" s="222" t="s">
        <v>83</v>
      </c>
      <c r="L81" s="229" t="s">
        <v>85</v>
      </c>
      <c r="M81" s="17"/>
      <c r="N81" s="236"/>
      <c r="O81" s="222" t="s">
        <v>84</v>
      </c>
    </row>
    <row r="82" spans="1:15" ht="15" customHeight="1" x14ac:dyDescent="0.25">
      <c r="A82" s="236"/>
      <c r="B82" s="271" t="s">
        <v>192</v>
      </c>
      <c r="C82" s="271"/>
      <c r="D82" s="3" t="s">
        <v>194</v>
      </c>
      <c r="E82" s="3"/>
      <c r="F82" s="54"/>
      <c r="G82" s="57" t="s">
        <v>188</v>
      </c>
      <c r="H82" s="17" t="s">
        <v>175</v>
      </c>
      <c r="J82" s="54" t="s">
        <v>43</v>
      </c>
      <c r="K82" s="200">
        <v>4</v>
      </c>
      <c r="L82" s="134">
        <f>IF(K82="","",K82)</f>
        <v>4</v>
      </c>
      <c r="M82" s="3" t="s">
        <v>19</v>
      </c>
      <c r="N82" s="236"/>
      <c r="O82" s="125">
        <f>IF($K$82="","",$K$82)</f>
        <v>4</v>
      </c>
    </row>
    <row r="83" spans="1:15" ht="15" customHeight="1" x14ac:dyDescent="0.25">
      <c r="A83" s="236"/>
      <c r="B83" s="272"/>
      <c r="C83" s="272"/>
      <c r="D83" s="3"/>
      <c r="E83" s="3"/>
      <c r="F83" s="223" t="s">
        <v>180</v>
      </c>
      <c r="G83" s="200">
        <v>2</v>
      </c>
      <c r="H83" s="200" t="s">
        <v>178</v>
      </c>
      <c r="J83" s="54" t="s">
        <v>53</v>
      </c>
      <c r="K83" s="200">
        <v>2145</v>
      </c>
      <c r="L83" s="134">
        <f>IF(K83="","",K83)</f>
        <v>2145</v>
      </c>
      <c r="M83" s="3" t="s">
        <v>20</v>
      </c>
      <c r="N83" s="236"/>
      <c r="O83" s="230">
        <f>IF($K$83="","",$K$83)</f>
        <v>2145</v>
      </c>
    </row>
    <row r="84" spans="1:15" ht="17.25" customHeight="1" x14ac:dyDescent="0.25">
      <c r="A84" s="236"/>
      <c r="B84" s="273"/>
      <c r="C84" s="274"/>
      <c r="D84" s="24" t="s">
        <v>343</v>
      </c>
      <c r="E84" s="3"/>
      <c r="F84" s="54" t="s">
        <v>25</v>
      </c>
      <c r="G84" s="125">
        <f>IFERROR(VLOOKUP(H83,Table2[],2,FALSE)*G83,"")</f>
        <v>16.5</v>
      </c>
      <c r="H84" s="3" t="s">
        <v>191</v>
      </c>
      <c r="J84" s="54" t="s">
        <v>352</v>
      </c>
      <c r="K84" s="200">
        <v>0.128</v>
      </c>
      <c r="L84" s="134">
        <f>IF(K84="","",K84)</f>
        <v>0.128</v>
      </c>
      <c r="M84" s="3" t="s">
        <v>19</v>
      </c>
      <c r="N84" s="236"/>
      <c r="O84" s="125">
        <f>IF($K$84="","",$K$84)</f>
        <v>0.128</v>
      </c>
    </row>
    <row r="85" spans="1:15" ht="17.25" customHeight="1" x14ac:dyDescent="0.25">
      <c r="A85" s="236"/>
      <c r="B85" s="273"/>
      <c r="C85" s="274"/>
      <c r="D85" s="24" t="s">
        <v>344</v>
      </c>
      <c r="E85" s="3"/>
      <c r="F85" s="223" t="s">
        <v>185</v>
      </c>
      <c r="G85" s="201"/>
      <c r="H85" t="s">
        <v>191</v>
      </c>
      <c r="N85" s="236"/>
    </row>
    <row r="86" spans="1:15" ht="15" customHeight="1" x14ac:dyDescent="0.25">
      <c r="A86" s="236"/>
      <c r="B86" s="65"/>
      <c r="C86" s="75"/>
      <c r="D86" s="24"/>
      <c r="E86" s="3"/>
      <c r="F86" s="3"/>
      <c r="G86" s="3"/>
      <c r="H86" s="17"/>
      <c r="I86" s="3"/>
      <c r="J86" s="3"/>
      <c r="K86" s="3"/>
      <c r="N86" s="236"/>
    </row>
    <row r="87" spans="1:15" ht="15.75" customHeight="1" thickBot="1" x14ac:dyDescent="0.3">
      <c r="A87" s="236"/>
      <c r="B87" s="259" t="s">
        <v>87</v>
      </c>
      <c r="C87" s="259"/>
      <c r="D87" s="259"/>
      <c r="E87" s="259"/>
      <c r="F87" s="259"/>
      <c r="G87" s="3"/>
      <c r="H87" s="24"/>
      <c r="I87" s="3"/>
      <c r="J87" s="3"/>
      <c r="N87" s="236"/>
    </row>
    <row r="88" spans="1:15" ht="15" customHeight="1" x14ac:dyDescent="0.25">
      <c r="A88" s="236"/>
      <c r="C88" s="3"/>
      <c r="D88" s="3"/>
      <c r="E88" s="3"/>
      <c r="F88" s="3"/>
      <c r="G88" s="3"/>
      <c r="H88" s="3"/>
      <c r="I88" s="3"/>
      <c r="J88" s="3"/>
      <c r="K88" s="3"/>
      <c r="N88" s="236"/>
    </row>
    <row r="89" spans="1:15" ht="15" customHeight="1" x14ac:dyDescent="0.25">
      <c r="A89" s="236"/>
      <c r="C89" s="3"/>
      <c r="D89" s="3"/>
      <c r="E89" s="3"/>
      <c r="F89" s="3"/>
      <c r="G89" s="3"/>
      <c r="H89" s="3"/>
      <c r="I89" s="3"/>
      <c r="J89" s="3"/>
      <c r="K89" s="3"/>
      <c r="N89" s="236"/>
    </row>
    <row r="90" spans="1:15" ht="15" customHeight="1" x14ac:dyDescent="0.25">
      <c r="A90" s="236"/>
      <c r="C90" s="3"/>
      <c r="D90" s="3"/>
      <c r="E90" s="3"/>
      <c r="F90" s="3"/>
      <c r="G90" s="3"/>
      <c r="H90" s="3"/>
      <c r="I90" s="3"/>
      <c r="J90" s="3"/>
      <c r="K90" s="3"/>
      <c r="N90" s="236"/>
    </row>
    <row r="91" spans="1:15" ht="15.75" customHeight="1" thickBot="1" x14ac:dyDescent="0.3">
      <c r="A91" s="236"/>
      <c r="C91" s="63" t="s">
        <v>37</v>
      </c>
      <c r="D91" s="64" t="s">
        <v>36</v>
      </c>
      <c r="E91" s="63" t="s">
        <v>35</v>
      </c>
      <c r="F91" s="64" t="s">
        <v>34</v>
      </c>
      <c r="G91" s="63" t="s">
        <v>50</v>
      </c>
      <c r="H91" s="64" t="s">
        <v>49</v>
      </c>
      <c r="I91" s="229"/>
      <c r="J91" s="229"/>
      <c r="K91" s="3"/>
      <c r="N91" s="236"/>
    </row>
    <row r="92" spans="1:15" ht="15.75" customHeight="1" thickTop="1" x14ac:dyDescent="0.25">
      <c r="A92" s="236"/>
      <c r="B92" s="223" t="s">
        <v>33</v>
      </c>
      <c r="C92" s="105" t="str">
        <f>IF($B$81="","",B81)</f>
        <v>15/32</v>
      </c>
      <c r="D92" s="106" t="str">
        <f>IF($B$81="","",B81)</f>
        <v>15/32</v>
      </c>
      <c r="E92" s="105" t="str">
        <f>IF($B$81="","",B81)</f>
        <v>15/32</v>
      </c>
      <c r="F92" s="106" t="str">
        <f>IF($B$81="","",B81)</f>
        <v>15/32</v>
      </c>
      <c r="G92" s="105" t="str">
        <f>IF($B$81="","",B81)</f>
        <v>15/32</v>
      </c>
      <c r="H92" s="106" t="str">
        <f>IF($B$81="","",B81)</f>
        <v>15/32</v>
      </c>
      <c r="I92" s="17"/>
      <c r="J92" s="260" t="str">
        <f>IFERROR(IF($C$99="N/A","Sheathing Composition is not valid. Please review Sheathing inputs.",""),"")</f>
        <v/>
      </c>
      <c r="K92" s="260"/>
      <c r="L92" s="260"/>
      <c r="N92" s="236"/>
    </row>
    <row r="93" spans="1:15" ht="15.75" customHeight="1" thickBot="1" x14ac:dyDescent="0.3">
      <c r="A93" s="236"/>
      <c r="B93" s="223" t="s">
        <v>32</v>
      </c>
      <c r="C93" s="36" t="str">
        <f t="shared" ref="C93:H93" si="0">$K$79</f>
        <v>8d common</v>
      </c>
      <c r="D93" s="35" t="str">
        <f t="shared" si="0"/>
        <v>8d common</v>
      </c>
      <c r="E93" s="36" t="str">
        <f t="shared" si="0"/>
        <v>8d common</v>
      </c>
      <c r="F93" s="35" t="str">
        <f t="shared" si="0"/>
        <v>8d common</v>
      </c>
      <c r="G93" s="36" t="str">
        <f t="shared" si="0"/>
        <v>8d common</v>
      </c>
      <c r="H93" s="35" t="str">
        <f t="shared" si="0"/>
        <v>8d common</v>
      </c>
      <c r="I93" s="17"/>
      <c r="J93" s="260"/>
      <c r="K93" s="260"/>
      <c r="L93" s="260"/>
      <c r="N93" s="236"/>
    </row>
    <row r="94" spans="1:15" ht="18" customHeight="1" x14ac:dyDescent="0.35">
      <c r="A94" s="236"/>
      <c r="B94" s="223" t="s">
        <v>31</v>
      </c>
      <c r="C94" s="55">
        <f>L32</f>
        <v>336.53846153846155</v>
      </c>
      <c r="D94" s="32">
        <f>C94</f>
        <v>336.53846153846155</v>
      </c>
      <c r="E94" s="55">
        <f>L33</f>
        <v>387.82051282051282</v>
      </c>
      <c r="F94" s="32">
        <f>E94</f>
        <v>387.82051282051282</v>
      </c>
      <c r="G94" s="55">
        <f>L34</f>
        <v>243.58974358974362</v>
      </c>
      <c r="H94" s="32">
        <f>G94</f>
        <v>243.58974358974362</v>
      </c>
      <c r="I94" s="41" t="s">
        <v>29</v>
      </c>
      <c r="J94" s="60"/>
      <c r="N94" s="236"/>
    </row>
    <row r="95" spans="1:15" ht="18" customHeight="1" x14ac:dyDescent="0.35">
      <c r="A95" s="236"/>
      <c r="B95" s="223" t="s">
        <v>30</v>
      </c>
      <c r="C95" s="55">
        <f t="shared" ref="C95:H95" si="1">IFERROR(C94/0.7,"")</f>
        <v>480.76923076923083</v>
      </c>
      <c r="D95" s="32">
        <f t="shared" si="1"/>
        <v>480.76923076923083</v>
      </c>
      <c r="E95" s="55">
        <f t="shared" si="1"/>
        <v>554.02930402930406</v>
      </c>
      <c r="F95" s="32">
        <f t="shared" si="1"/>
        <v>554.02930402930406</v>
      </c>
      <c r="G95" s="55">
        <f t="shared" si="1"/>
        <v>347.98534798534803</v>
      </c>
      <c r="H95" s="32">
        <f t="shared" si="1"/>
        <v>347.98534798534803</v>
      </c>
      <c r="I95" s="41" t="s">
        <v>29</v>
      </c>
      <c r="J95" s="60"/>
      <c r="N95" s="236"/>
    </row>
    <row r="96" spans="1:15" ht="15" customHeight="1" x14ac:dyDescent="0.25">
      <c r="A96" s="236"/>
      <c r="B96" s="223" t="s">
        <v>28</v>
      </c>
      <c r="C96" s="37">
        <f>IF($G$81="","",$G$81)</f>
        <v>1600000</v>
      </c>
      <c r="D96" s="29">
        <f t="shared" ref="D96:H96" si="2">IF($G$81="","",$G$81)</f>
        <v>1600000</v>
      </c>
      <c r="E96" s="37">
        <f t="shared" si="2"/>
        <v>1600000</v>
      </c>
      <c r="F96" s="29">
        <f t="shared" si="2"/>
        <v>1600000</v>
      </c>
      <c r="G96" s="37">
        <f t="shared" si="2"/>
        <v>1600000</v>
      </c>
      <c r="H96" s="29">
        <f t="shared" si="2"/>
        <v>1600000</v>
      </c>
      <c r="I96" s="41" t="s">
        <v>27</v>
      </c>
      <c r="J96" s="57"/>
      <c r="L96" s="21"/>
      <c r="M96" s="21"/>
      <c r="N96" s="236"/>
    </row>
    <row r="97" spans="1:14" ht="15" customHeight="1" x14ac:dyDescent="0.25">
      <c r="A97" s="236"/>
      <c r="B97" s="223" t="s">
        <v>26</v>
      </c>
      <c r="C97" s="38">
        <f>IF(D28="","",D28)</f>
        <v>8</v>
      </c>
      <c r="D97" s="30">
        <f>IF(D28="","",D28-F27)</f>
        <v>4</v>
      </c>
      <c r="E97" s="38">
        <f>$D$97</f>
        <v>4</v>
      </c>
      <c r="F97" s="30">
        <f>$D$97</f>
        <v>4</v>
      </c>
      <c r="G97" s="38">
        <f>$D$97</f>
        <v>4</v>
      </c>
      <c r="H97" s="30">
        <f>C97</f>
        <v>8</v>
      </c>
      <c r="I97" s="41" t="s">
        <v>21</v>
      </c>
      <c r="J97" s="58"/>
      <c r="L97" s="21"/>
      <c r="M97" s="21"/>
      <c r="N97" s="236"/>
    </row>
    <row r="98" spans="1:14" ht="17.25" customHeight="1" x14ac:dyDescent="0.25">
      <c r="A98" s="236"/>
      <c r="B98" s="223" t="s">
        <v>25</v>
      </c>
      <c r="C98" s="39">
        <f>IF($G$85="",$G$84,$G$85)</f>
        <v>16.5</v>
      </c>
      <c r="D98" s="28">
        <f>$C$98</f>
        <v>16.5</v>
      </c>
      <c r="E98" s="39">
        <f>$C$98</f>
        <v>16.5</v>
      </c>
      <c r="F98" s="28">
        <f>$C$98</f>
        <v>16.5</v>
      </c>
      <c r="G98" s="39">
        <f>$C$98</f>
        <v>16.5</v>
      </c>
      <c r="H98" s="28">
        <f>$C$98</f>
        <v>16.5</v>
      </c>
      <c r="I98" s="41" t="s">
        <v>191</v>
      </c>
      <c r="J98" s="17"/>
      <c r="M98" s="21"/>
      <c r="N98" s="236"/>
    </row>
    <row r="99" spans="1:14" ht="15" customHeight="1" x14ac:dyDescent="0.25">
      <c r="A99" s="236"/>
      <c r="B99" s="223" t="s">
        <v>45</v>
      </c>
      <c r="C99" s="40">
        <f>IF($B$84="",IF(B80="OSB",VLOOKUP(B80&amp;B81&amp;B82,Table11[],3,FALSE),IF(B80="Plywood",VLOOKUP(B80&amp;B81&amp;B82,Table11[],3,FALSE),"")),$B$84)</f>
        <v>83500</v>
      </c>
      <c r="D99" s="59">
        <f>$C$99</f>
        <v>83500</v>
      </c>
      <c r="E99" s="40">
        <f>$C$99</f>
        <v>83500</v>
      </c>
      <c r="F99" s="59">
        <f>$C$99</f>
        <v>83500</v>
      </c>
      <c r="G99" s="40">
        <f>$C$99</f>
        <v>83500</v>
      </c>
      <c r="H99" s="31">
        <f>$C$99</f>
        <v>83500</v>
      </c>
      <c r="I99" s="41" t="s">
        <v>44</v>
      </c>
      <c r="J99" s="59"/>
      <c r="M99" s="21"/>
      <c r="N99" s="236"/>
    </row>
    <row r="100" spans="1:14" ht="15" customHeight="1" x14ac:dyDescent="0.25">
      <c r="A100" s="236"/>
      <c r="B100" s="223" t="s">
        <v>43</v>
      </c>
      <c r="C100" s="39">
        <f>IF(K82="","",K82)</f>
        <v>4</v>
      </c>
      <c r="D100" s="28">
        <f>C100</f>
        <v>4</v>
      </c>
      <c r="E100" s="39">
        <f>IF($O$82="","",$O$82)</f>
        <v>4</v>
      </c>
      <c r="F100" s="28">
        <f>E100</f>
        <v>4</v>
      </c>
      <c r="G100" s="39">
        <f>IF(L82="","",L82)</f>
        <v>4</v>
      </c>
      <c r="H100" s="28">
        <f>G100</f>
        <v>4</v>
      </c>
      <c r="I100" s="41" t="s">
        <v>19</v>
      </c>
      <c r="J100" s="17"/>
      <c r="M100" s="21"/>
      <c r="N100" s="236"/>
    </row>
    <row r="101" spans="1:14" ht="15" customHeight="1" x14ac:dyDescent="0.25">
      <c r="A101" s="236"/>
      <c r="B101" s="223" t="s">
        <v>42</v>
      </c>
      <c r="C101" s="55">
        <f t="shared" ref="C101:H101" si="3">IFERROR(C95/(12/C100),"")</f>
        <v>160.25641025641028</v>
      </c>
      <c r="D101" s="32">
        <f t="shared" si="3"/>
        <v>160.25641025641028</v>
      </c>
      <c r="E101" s="55">
        <f t="shared" si="3"/>
        <v>184.6764346764347</v>
      </c>
      <c r="F101" s="32">
        <f t="shared" si="3"/>
        <v>184.6764346764347</v>
      </c>
      <c r="G101" s="55">
        <f t="shared" si="3"/>
        <v>115.99511599511601</v>
      </c>
      <c r="H101" s="32">
        <f t="shared" si="3"/>
        <v>115.99511599511601</v>
      </c>
      <c r="I101" s="41" t="s">
        <v>29</v>
      </c>
      <c r="J101" s="60"/>
      <c r="M101" s="21"/>
      <c r="N101" s="236"/>
    </row>
    <row r="102" spans="1:14" ht="15" customHeight="1" x14ac:dyDescent="0.25">
      <c r="A102" s="236"/>
      <c r="B102" s="223" t="s">
        <v>41</v>
      </c>
      <c r="C102" s="56">
        <f>IF(K79="","",IFERROR(IF(K79="8d common",(C101/616)^3.018,IF(K79="10d common",(C101/769)^3.276,"Fix")),""))</f>
        <v>1.7186138961198524E-2</v>
      </c>
      <c r="D102" s="33">
        <f>C102</f>
        <v>1.7186138961198524E-2</v>
      </c>
      <c r="E102" s="56">
        <f>IF(K79="","",IFERROR(IF(K79="8d common",(E101/616)^3.018,IF(K79="10d common",(E101/769)^3.276,"Fix")),""))</f>
        <v>2.6367882944472815E-2</v>
      </c>
      <c r="F102" s="33">
        <f>E102</f>
        <v>2.6367882944472815E-2</v>
      </c>
      <c r="G102" s="56">
        <f>IF(K79="","",IFERROR(IF(K79="8d common",(G101/616)^3.018,IF(K79="10d common",(G101/769)^3.276,"Fix")),""))</f>
        <v>6.4792455025141906E-3</v>
      </c>
      <c r="H102" s="33">
        <f>G102</f>
        <v>6.4792455025141906E-3</v>
      </c>
      <c r="I102" s="41" t="s">
        <v>19</v>
      </c>
      <c r="J102" s="61"/>
      <c r="M102" s="21"/>
      <c r="N102" s="236"/>
    </row>
    <row r="103" spans="1:14" ht="15" customHeight="1" x14ac:dyDescent="0.25">
      <c r="A103" s="236"/>
      <c r="B103" s="223" t="s">
        <v>22</v>
      </c>
      <c r="C103" s="38">
        <f>IF(D25="","",D25)</f>
        <v>4</v>
      </c>
      <c r="D103" s="30">
        <f>C103</f>
        <v>4</v>
      </c>
      <c r="E103" s="38">
        <f>IF(D26="","",D26)</f>
        <v>4</v>
      </c>
      <c r="F103" s="30">
        <f>E103</f>
        <v>4</v>
      </c>
      <c r="G103" s="38">
        <f>IF(D27="","",D27)</f>
        <v>3.5</v>
      </c>
      <c r="H103" s="30">
        <f>G103</f>
        <v>3.5</v>
      </c>
      <c r="I103" s="41" t="s">
        <v>21</v>
      </c>
      <c r="J103" s="58"/>
      <c r="M103" s="21"/>
      <c r="N103" s="236"/>
    </row>
    <row r="104" spans="1:14" ht="15" customHeight="1" x14ac:dyDescent="0.25">
      <c r="A104" s="236"/>
      <c r="B104" s="223" t="s">
        <v>53</v>
      </c>
      <c r="C104" s="39">
        <f>IF(K83="","",K83)</f>
        <v>2145</v>
      </c>
      <c r="D104" s="28">
        <f>C104</f>
        <v>2145</v>
      </c>
      <c r="E104" s="39">
        <f>$O$83</f>
        <v>2145</v>
      </c>
      <c r="F104" s="28">
        <f>E104</f>
        <v>2145</v>
      </c>
      <c r="G104" s="39">
        <f>L83</f>
        <v>2145</v>
      </c>
      <c r="H104" s="28">
        <f>G104</f>
        <v>2145</v>
      </c>
      <c r="I104" s="41" t="s">
        <v>20</v>
      </c>
      <c r="J104" s="17"/>
      <c r="M104" s="21"/>
      <c r="N104" s="236"/>
    </row>
    <row r="105" spans="1:14" ht="15" customHeight="1" x14ac:dyDescent="0.25">
      <c r="A105" s="236"/>
      <c r="B105" s="223" t="s">
        <v>48</v>
      </c>
      <c r="C105" s="62">
        <f>IF(K84="","",K84)</f>
        <v>0.128</v>
      </c>
      <c r="D105" s="34">
        <f>C105</f>
        <v>0.128</v>
      </c>
      <c r="E105" s="62">
        <f>$O$84</f>
        <v>0.128</v>
      </c>
      <c r="F105" s="34">
        <f>E105</f>
        <v>0.128</v>
      </c>
      <c r="G105" s="62">
        <f>L84</f>
        <v>0.128</v>
      </c>
      <c r="H105" s="34">
        <f>G105</f>
        <v>0.128</v>
      </c>
      <c r="I105" s="41" t="s">
        <v>19</v>
      </c>
      <c r="J105" s="17"/>
      <c r="M105" s="21"/>
      <c r="N105" s="236"/>
    </row>
    <row r="106" spans="1:14" ht="15" customHeight="1" x14ac:dyDescent="0.25">
      <c r="A106" s="236"/>
      <c r="M106" s="21"/>
      <c r="N106" s="236"/>
    </row>
    <row r="107" spans="1:14" ht="15.75" customHeight="1" thickBot="1" x14ac:dyDescent="0.3">
      <c r="A107" s="236"/>
      <c r="C107" s="6" t="s">
        <v>82</v>
      </c>
      <c r="M107" s="21"/>
      <c r="N107" s="236"/>
    </row>
    <row r="108" spans="1:14" ht="15" customHeight="1" x14ac:dyDescent="0.25">
      <c r="A108" s="236"/>
      <c r="C108" s="252" t="s">
        <v>18</v>
      </c>
      <c r="D108" s="253"/>
      <c r="E108" s="253"/>
      <c r="F108" s="254"/>
      <c r="G108" s="252" t="s">
        <v>17</v>
      </c>
      <c r="H108" s="253"/>
      <c r="I108" s="253"/>
      <c r="J108" s="254"/>
      <c r="N108" s="236"/>
    </row>
    <row r="109" spans="1:14" ht="15" customHeight="1" x14ac:dyDescent="0.25">
      <c r="A109" s="236"/>
      <c r="C109" s="20" t="s">
        <v>12</v>
      </c>
      <c r="D109" s="19" t="s">
        <v>11</v>
      </c>
      <c r="E109" s="19" t="s">
        <v>10</v>
      </c>
      <c r="F109" s="18" t="s">
        <v>40</v>
      </c>
      <c r="G109" s="20" t="s">
        <v>12</v>
      </c>
      <c r="H109" s="19" t="s">
        <v>11</v>
      </c>
      <c r="I109" s="19" t="s">
        <v>10</v>
      </c>
      <c r="J109" s="18" t="s">
        <v>40</v>
      </c>
      <c r="N109" s="236"/>
    </row>
    <row r="110" spans="1:14" ht="15" customHeight="1" x14ac:dyDescent="0.25">
      <c r="A110" s="236"/>
      <c r="C110" s="16" t="s">
        <v>8</v>
      </c>
      <c r="D110" s="15" t="s">
        <v>7</v>
      </c>
      <c r="E110" s="15" t="s">
        <v>353</v>
      </c>
      <c r="F110" s="14" t="s">
        <v>39</v>
      </c>
      <c r="G110" s="16" t="s">
        <v>8</v>
      </c>
      <c r="H110" s="15" t="s">
        <v>7</v>
      </c>
      <c r="I110" s="15" t="s">
        <v>353</v>
      </c>
      <c r="J110" s="14" t="s">
        <v>38</v>
      </c>
      <c r="N110" s="236"/>
    </row>
    <row r="111" spans="1:14" ht="15.75" customHeight="1" thickBot="1" x14ac:dyDescent="0.3">
      <c r="A111" s="236"/>
      <c r="C111" s="13">
        <f>IFERROR(8*C95*C97^3/(C96*C98*C103),"")</f>
        <v>1.8648018648018651E-2</v>
      </c>
      <c r="D111" s="12">
        <f>IFERROR(C95*C97/(C99),"")</f>
        <v>4.6061722708429301E-2</v>
      </c>
      <c r="E111" s="12">
        <f>IFERROR(0.75*C97*C102,"")</f>
        <v>0.10311683376719114</v>
      </c>
      <c r="F111" s="11">
        <f>IFERROR(C105*C95*C97/C104*(C97/C103),"")</f>
        <v>0.45902815133584368</v>
      </c>
      <c r="G111" s="13">
        <f>IFERROR(8*D95*D97^3/(D96*D98*D103),"")</f>
        <v>2.3310023310023314E-3</v>
      </c>
      <c r="H111" s="12">
        <f>IFERROR(D95*D97/(D99),"")</f>
        <v>2.303086135421465E-2</v>
      </c>
      <c r="I111" s="12">
        <f>IFERROR(0.75*D97*D102,"")</f>
        <v>5.1558416883595568E-2</v>
      </c>
      <c r="J111" s="11">
        <f>IFERROR(D105*D95*D97/D104*(D97/D103),"")</f>
        <v>0.11475703783396092</v>
      </c>
      <c r="N111" s="236"/>
    </row>
    <row r="112" spans="1:14" ht="15.75" customHeight="1" thickBot="1" x14ac:dyDescent="0.3">
      <c r="A112" s="236"/>
      <c r="C112" s="9"/>
      <c r="D112" s="8"/>
      <c r="E112" s="67" t="s">
        <v>16</v>
      </c>
      <c r="F112" s="7">
        <f>SUM(C111:F111)</f>
        <v>0.62685472645948281</v>
      </c>
      <c r="G112" s="9"/>
      <c r="H112" s="8"/>
      <c r="I112" s="67" t="s">
        <v>16</v>
      </c>
      <c r="J112" s="7">
        <f>SUM(G111:J111)</f>
        <v>0.19167731840277347</v>
      </c>
      <c r="N112" s="236"/>
    </row>
    <row r="113" spans="1:14" ht="15" customHeight="1" x14ac:dyDescent="0.25">
      <c r="A113" s="236"/>
      <c r="C113" s="252" t="s">
        <v>15</v>
      </c>
      <c r="D113" s="253"/>
      <c r="E113" s="253"/>
      <c r="F113" s="254"/>
      <c r="G113" s="252" t="s">
        <v>14</v>
      </c>
      <c r="H113" s="253"/>
      <c r="I113" s="253"/>
      <c r="J113" s="254"/>
      <c r="N113" s="236"/>
    </row>
    <row r="114" spans="1:14" ht="15" customHeight="1" x14ac:dyDescent="0.25">
      <c r="A114" s="236"/>
      <c r="C114" s="20" t="s">
        <v>12</v>
      </c>
      <c r="D114" s="19" t="s">
        <v>11</v>
      </c>
      <c r="E114" s="19" t="s">
        <v>10</v>
      </c>
      <c r="F114" s="18" t="s">
        <v>40</v>
      </c>
      <c r="G114" s="20" t="s">
        <v>12</v>
      </c>
      <c r="H114" s="19" t="s">
        <v>11</v>
      </c>
      <c r="I114" s="19" t="s">
        <v>10</v>
      </c>
      <c r="J114" s="18" t="s">
        <v>40</v>
      </c>
      <c r="N114" s="236"/>
    </row>
    <row r="115" spans="1:14" ht="15.75" customHeight="1" thickBot="1" x14ac:dyDescent="0.3">
      <c r="A115" s="236"/>
      <c r="C115" s="16" t="s">
        <v>8</v>
      </c>
      <c r="D115" s="15" t="s">
        <v>7</v>
      </c>
      <c r="E115" s="15" t="s">
        <v>353</v>
      </c>
      <c r="F115" s="14" t="s">
        <v>39</v>
      </c>
      <c r="G115" s="16" t="s">
        <v>8</v>
      </c>
      <c r="H115" s="15" t="s">
        <v>7</v>
      </c>
      <c r="I115" s="15" t="s">
        <v>353</v>
      </c>
      <c r="J115" s="14" t="s">
        <v>38</v>
      </c>
      <c r="N115" s="236"/>
    </row>
    <row r="116" spans="1:14" ht="15.75" customHeight="1" thickBot="1" x14ac:dyDescent="0.3">
      <c r="A116" s="236"/>
      <c r="C116" s="13">
        <f>IFERROR(8*E95*E97^3/(E96*E98*E103),"")</f>
        <v>2.6862026862026862E-3</v>
      </c>
      <c r="D116" s="12">
        <f>IFERROR(E95*E97/(E99),"")</f>
        <v>2.6540325941523547E-2</v>
      </c>
      <c r="E116" s="12">
        <f>IFERROR(0.75*E97*E102,"")</f>
        <v>7.9103648833418444E-2</v>
      </c>
      <c r="F116" s="11">
        <f>IFERROR(E105*E95*E97/E104*(E97/E103),"")</f>
        <v>0.13224382455151687</v>
      </c>
      <c r="G116" s="13">
        <f>IFERROR(8*F95*F97^3/(F96*F98*F103),"")</f>
        <v>2.6862026862026862E-3</v>
      </c>
      <c r="H116" s="12">
        <f>IFERROR(F95*F97/(F99),"")</f>
        <v>2.6540325941523547E-2</v>
      </c>
      <c r="I116" s="12">
        <f>IFERROR(0.75*F97*F102,"")</f>
        <v>7.9103648833418444E-2</v>
      </c>
      <c r="J116" s="11">
        <f>IFERROR(F105*F95*F97/F104*(F97/F103),"")</f>
        <v>0.13224382455151687</v>
      </c>
      <c r="L116" s="68" t="s">
        <v>13</v>
      </c>
      <c r="N116" s="236"/>
    </row>
    <row r="117" spans="1:14" ht="15.75" customHeight="1" thickBot="1" x14ac:dyDescent="0.3">
      <c r="A117" s="236"/>
      <c r="C117" s="9"/>
      <c r="D117" s="8"/>
      <c r="E117" s="67" t="s">
        <v>16</v>
      </c>
      <c r="F117" s="7">
        <f>SUM(C116:F116)</f>
        <v>0.24057400201266155</v>
      </c>
      <c r="G117" s="9"/>
      <c r="H117" s="8"/>
      <c r="I117" s="67" t="s">
        <v>16</v>
      </c>
      <c r="J117" s="7">
        <f>SUM(G116:J116)</f>
        <v>0.24057400201266155</v>
      </c>
      <c r="L117" s="69" t="s">
        <v>9</v>
      </c>
      <c r="N117" s="236"/>
    </row>
    <row r="118" spans="1:14" ht="15" customHeight="1" x14ac:dyDescent="0.25">
      <c r="A118" s="236"/>
      <c r="C118" s="252" t="s">
        <v>47</v>
      </c>
      <c r="D118" s="253"/>
      <c r="E118" s="253"/>
      <c r="F118" s="254"/>
      <c r="G118" s="252" t="s">
        <v>46</v>
      </c>
      <c r="H118" s="253"/>
      <c r="I118" s="253"/>
      <c r="J118" s="254"/>
      <c r="L118" s="70">
        <f>IF(J111="","",AVERAGE(F112,J112,F117,J117,F122,J122))</f>
        <v>0.31666642617308721</v>
      </c>
      <c r="M118" s="3" t="s">
        <v>19</v>
      </c>
      <c r="N118" s="236"/>
    </row>
    <row r="119" spans="1:14" ht="15.75" customHeight="1" thickBot="1" x14ac:dyDescent="0.3">
      <c r="A119" s="236"/>
      <c r="C119" s="20" t="s">
        <v>12</v>
      </c>
      <c r="D119" s="19" t="s">
        <v>11</v>
      </c>
      <c r="E119" s="19" t="s">
        <v>10</v>
      </c>
      <c r="F119" s="18" t="s">
        <v>40</v>
      </c>
      <c r="G119" s="20" t="s">
        <v>12</v>
      </c>
      <c r="H119" s="19" t="s">
        <v>11</v>
      </c>
      <c r="I119" s="19" t="s">
        <v>10</v>
      </c>
      <c r="J119" s="18" t="s">
        <v>40</v>
      </c>
      <c r="L119" s="71">
        <f>IFERROR(4*L118/(C97*12),"")</f>
        <v>1.3194434423878633E-2</v>
      </c>
      <c r="M119" t="s">
        <v>6</v>
      </c>
      <c r="N119" s="236"/>
    </row>
    <row r="120" spans="1:14" ht="15" customHeight="1" x14ac:dyDescent="0.25">
      <c r="A120" s="236"/>
      <c r="C120" s="16" t="s">
        <v>8</v>
      </c>
      <c r="D120" s="15" t="s">
        <v>7</v>
      </c>
      <c r="E120" s="15" t="s">
        <v>353</v>
      </c>
      <c r="F120" s="14" t="s">
        <v>39</v>
      </c>
      <c r="G120" s="16" t="s">
        <v>8</v>
      </c>
      <c r="H120" s="15" t="s">
        <v>7</v>
      </c>
      <c r="I120" s="15" t="s">
        <v>353</v>
      </c>
      <c r="J120" s="14" t="s">
        <v>38</v>
      </c>
      <c r="N120" s="236"/>
    </row>
    <row r="121" spans="1:14" ht="15.75" customHeight="1" thickBot="1" x14ac:dyDescent="0.3">
      <c r="A121" s="236"/>
      <c r="C121" s="13">
        <f>IFERROR(8*G95*G97^3/(G96*G98*G103),"")</f>
        <v>1.9282304996590712E-3</v>
      </c>
      <c r="D121" s="12">
        <f>IFERROR(G95*G97/(G99),"")</f>
        <v>1.666995678971727E-2</v>
      </c>
      <c r="E121" s="12">
        <f>IFERROR(0.75*G97*G102,"")</f>
        <v>1.9437736507542571E-2</v>
      </c>
      <c r="F121" s="11">
        <f>IFERROR(G105*G95*G97/G104*(G97/G103),"")</f>
        <v>9.4928270752446586E-2</v>
      </c>
      <c r="G121" s="13">
        <f>IFERROR(8*H95*H97^3/(H96*H98*H103),"")</f>
        <v>1.542584399727257E-2</v>
      </c>
      <c r="H121" s="12">
        <f>IFERROR(H95*H97/(H99),"")</f>
        <v>3.3339913579434541E-2</v>
      </c>
      <c r="I121" s="12">
        <f>IFERROR(0.75*H97*H102,"")</f>
        <v>3.8875473015085142E-2</v>
      </c>
      <c r="J121" s="11">
        <f>IFERROR(H105*H95*H97/H104*(H97/H103),"")</f>
        <v>0.37971308300978635</v>
      </c>
      <c r="N121" s="236"/>
    </row>
    <row r="122" spans="1:14" ht="15.75" customHeight="1" thickBot="1" x14ac:dyDescent="0.3">
      <c r="A122" s="236"/>
      <c r="C122" s="9"/>
      <c r="D122" s="8"/>
      <c r="E122" s="67" t="s">
        <v>16</v>
      </c>
      <c r="F122" s="7">
        <f>SUM(C121:F121)</f>
        <v>0.13296419454936551</v>
      </c>
      <c r="G122" s="9"/>
      <c r="H122" s="8"/>
      <c r="I122" s="67" t="s">
        <v>16</v>
      </c>
      <c r="J122" s="7">
        <f>SUM(G121:J121)</f>
        <v>0.46735431360157859</v>
      </c>
      <c r="N122" s="236"/>
    </row>
    <row r="123" spans="1:14" ht="15" customHeight="1" x14ac:dyDescent="0.25">
      <c r="A123" s="236"/>
      <c r="C123" s="3"/>
      <c r="D123" s="3"/>
      <c r="E123" s="160"/>
      <c r="F123" s="224"/>
      <c r="G123" s="3"/>
      <c r="H123" s="3"/>
      <c r="I123" s="160"/>
      <c r="J123" s="224"/>
      <c r="N123" s="236"/>
    </row>
    <row r="124" spans="1:14" ht="15" customHeight="1" x14ac:dyDescent="0.25">
      <c r="A124" s="236"/>
      <c r="J124" s="66"/>
      <c r="N124" s="236"/>
    </row>
    <row r="125" spans="1:14" ht="15.75" customHeight="1" thickBot="1" x14ac:dyDescent="0.3">
      <c r="A125" s="236"/>
      <c r="B125" s="259" t="s">
        <v>88</v>
      </c>
      <c r="C125" s="259"/>
      <c r="D125" s="259"/>
      <c r="E125" s="259"/>
      <c r="F125" s="259"/>
      <c r="N125" s="236"/>
    </row>
    <row r="126" spans="1:14" ht="15" customHeight="1" x14ac:dyDescent="0.25">
      <c r="A126" s="236"/>
      <c r="N126" s="236"/>
    </row>
    <row r="127" spans="1:14" ht="15" customHeight="1" x14ac:dyDescent="0.25">
      <c r="A127" s="236"/>
      <c r="N127" s="236"/>
    </row>
    <row r="128" spans="1:14" ht="15" customHeight="1" x14ac:dyDescent="0.25">
      <c r="A128" s="236"/>
      <c r="N128" s="236"/>
    </row>
    <row r="129" spans="1:14" ht="15.75" customHeight="1" thickBot="1" x14ac:dyDescent="0.3">
      <c r="A129" s="236"/>
      <c r="C129" s="63" t="s">
        <v>37</v>
      </c>
      <c r="D129" s="64" t="s">
        <v>36</v>
      </c>
      <c r="E129" s="63" t="s">
        <v>35</v>
      </c>
      <c r="F129" s="64" t="s">
        <v>34</v>
      </c>
      <c r="G129" s="63" t="s">
        <v>50</v>
      </c>
      <c r="H129" s="64" t="s">
        <v>49</v>
      </c>
      <c r="I129" s="229"/>
      <c r="J129" s="229"/>
      <c r="N129" s="236"/>
    </row>
    <row r="130" spans="1:14" ht="15.75" customHeight="1" thickTop="1" x14ac:dyDescent="0.25">
      <c r="A130" s="236"/>
      <c r="B130" s="223" t="s">
        <v>33</v>
      </c>
      <c r="C130" s="107" t="str">
        <f>IF($B$81="","",B81)</f>
        <v>15/32</v>
      </c>
      <c r="D130" s="108" t="str">
        <f>IF($B$81="","",B81)</f>
        <v>15/32</v>
      </c>
      <c r="E130" s="107" t="str">
        <f>IF($B$81="","",B81)</f>
        <v>15/32</v>
      </c>
      <c r="F130" s="108" t="str">
        <f>IF($B$81="","",B81)</f>
        <v>15/32</v>
      </c>
      <c r="G130" s="107" t="str">
        <f>IF($B$81="","",B81)</f>
        <v>15/32</v>
      </c>
      <c r="H130" s="108" t="str">
        <f>IF($B$81="","",B81)</f>
        <v>15/32</v>
      </c>
      <c r="I130" s="17"/>
      <c r="J130" s="260" t="str">
        <f>IFERROR(IF($C$137="N/A","Sheathing and Nail Type are not a valid combination. Please review Nail Type input.",""),"")</f>
        <v/>
      </c>
      <c r="K130" s="260"/>
      <c r="L130" s="260"/>
      <c r="N130" s="236"/>
    </row>
    <row r="131" spans="1:14" ht="15.75" customHeight="1" thickBot="1" x14ac:dyDescent="0.3">
      <c r="A131" s="236"/>
      <c r="B131" s="223" t="s">
        <v>32</v>
      </c>
      <c r="C131" s="36" t="str">
        <f t="shared" ref="C131:H131" si="4">$K$79</f>
        <v>8d common</v>
      </c>
      <c r="D131" s="35" t="str">
        <f t="shared" si="4"/>
        <v>8d common</v>
      </c>
      <c r="E131" s="36" t="str">
        <f t="shared" si="4"/>
        <v>8d common</v>
      </c>
      <c r="F131" s="35" t="str">
        <f t="shared" si="4"/>
        <v>8d common</v>
      </c>
      <c r="G131" s="36" t="str">
        <f t="shared" si="4"/>
        <v>8d common</v>
      </c>
      <c r="H131" s="35" t="str">
        <f t="shared" si="4"/>
        <v>8d common</v>
      </c>
      <c r="I131" s="17"/>
      <c r="J131" s="260"/>
      <c r="K131" s="260"/>
      <c r="L131" s="260"/>
      <c r="N131" s="236"/>
    </row>
    <row r="132" spans="1:14" ht="18" customHeight="1" x14ac:dyDescent="0.35">
      <c r="A132" s="236"/>
      <c r="B132" s="223" t="s">
        <v>31</v>
      </c>
      <c r="C132" s="55">
        <f>L32</f>
        <v>336.53846153846155</v>
      </c>
      <c r="D132" s="32">
        <f>C132</f>
        <v>336.53846153846155</v>
      </c>
      <c r="E132" s="55">
        <f>L33</f>
        <v>387.82051282051282</v>
      </c>
      <c r="F132" s="32">
        <f>E132</f>
        <v>387.82051282051282</v>
      </c>
      <c r="G132" s="55">
        <f>L34</f>
        <v>243.58974358974362</v>
      </c>
      <c r="H132" s="32">
        <f>G132</f>
        <v>243.58974358974362</v>
      </c>
      <c r="I132" s="41" t="s">
        <v>29</v>
      </c>
      <c r="J132" s="260"/>
      <c r="K132" s="260"/>
      <c r="L132" s="260"/>
      <c r="N132" s="236"/>
    </row>
    <row r="133" spans="1:14" ht="18" customHeight="1" x14ac:dyDescent="0.35">
      <c r="A133" s="236"/>
      <c r="B133" s="223" t="s">
        <v>30</v>
      </c>
      <c r="C133" s="55">
        <f t="shared" ref="C133:H133" si="5">IFERROR(C132/0.7,"")</f>
        <v>480.76923076923083</v>
      </c>
      <c r="D133" s="32">
        <f t="shared" si="5"/>
        <v>480.76923076923083</v>
      </c>
      <c r="E133" s="55">
        <f t="shared" si="5"/>
        <v>554.02930402930406</v>
      </c>
      <c r="F133" s="32">
        <f t="shared" si="5"/>
        <v>554.02930402930406</v>
      </c>
      <c r="G133" s="55">
        <f t="shared" si="5"/>
        <v>347.98534798534803</v>
      </c>
      <c r="H133" s="32">
        <f t="shared" si="5"/>
        <v>347.98534798534803</v>
      </c>
      <c r="I133" s="41" t="s">
        <v>29</v>
      </c>
      <c r="J133" s="60"/>
      <c r="N133" s="236"/>
    </row>
    <row r="134" spans="1:14" ht="15" customHeight="1" x14ac:dyDescent="0.25">
      <c r="A134" s="236"/>
      <c r="B134" s="223" t="s">
        <v>28</v>
      </c>
      <c r="C134" s="37">
        <f>IF($G$81="","",$G$81)</f>
        <v>1600000</v>
      </c>
      <c r="D134" s="29">
        <f t="shared" ref="D134:H134" si="6">IF($G$81="","",$G$81)</f>
        <v>1600000</v>
      </c>
      <c r="E134" s="37">
        <f t="shared" si="6"/>
        <v>1600000</v>
      </c>
      <c r="F134" s="29">
        <f t="shared" si="6"/>
        <v>1600000</v>
      </c>
      <c r="G134" s="37">
        <f t="shared" si="6"/>
        <v>1600000</v>
      </c>
      <c r="H134" s="29">
        <f t="shared" si="6"/>
        <v>1600000</v>
      </c>
      <c r="I134" s="41" t="s">
        <v>27</v>
      </c>
      <c r="J134" s="57"/>
      <c r="N134" s="236"/>
    </row>
    <row r="135" spans="1:14" ht="15" customHeight="1" x14ac:dyDescent="0.25">
      <c r="A135" s="236"/>
      <c r="B135" s="223" t="s">
        <v>26</v>
      </c>
      <c r="C135" s="38">
        <f>D28</f>
        <v>8</v>
      </c>
      <c r="D135" s="30">
        <f>IF(D28="","",D28-F27)</f>
        <v>4</v>
      </c>
      <c r="E135" s="38">
        <f>D135</f>
        <v>4</v>
      </c>
      <c r="F135" s="30">
        <f>D135</f>
        <v>4</v>
      </c>
      <c r="G135" s="38">
        <f>D135</f>
        <v>4</v>
      </c>
      <c r="H135" s="30">
        <f>C135</f>
        <v>8</v>
      </c>
      <c r="I135" s="41" t="s">
        <v>21</v>
      </c>
      <c r="J135" s="58"/>
      <c r="N135" s="236"/>
    </row>
    <row r="136" spans="1:14" ht="17.25" customHeight="1" x14ac:dyDescent="0.25">
      <c r="A136" s="236"/>
      <c r="B136" s="223" t="s">
        <v>25</v>
      </c>
      <c r="C136" s="39">
        <f>IF($G$85="",$G$84,$G$85)</f>
        <v>16.5</v>
      </c>
      <c r="D136" s="28">
        <f>$C$98</f>
        <v>16.5</v>
      </c>
      <c r="E136" s="39">
        <f>$C$98</f>
        <v>16.5</v>
      </c>
      <c r="F136" s="28">
        <f>$C$98</f>
        <v>16.5</v>
      </c>
      <c r="G136" s="39">
        <f>$C$98</f>
        <v>16.5</v>
      </c>
      <c r="H136" s="28">
        <f>$C$98</f>
        <v>16.5</v>
      </c>
      <c r="I136" s="41" t="s">
        <v>191</v>
      </c>
      <c r="J136" s="17"/>
      <c r="N136" s="236"/>
    </row>
    <row r="137" spans="1:14" ht="15" customHeight="1" x14ac:dyDescent="0.25">
      <c r="A137" s="236"/>
      <c r="B137" s="223" t="s">
        <v>24</v>
      </c>
      <c r="C137" s="113">
        <f>IF($B$85="",IF(B80="OSB",VLOOKUP(B80&amp;B81&amp;B82&amp;K79&amp;K82,Table1113[],3,FALSE),IF(B80="Plywood",VLOOKUP(B80&amp;B81&amp;B82&amp;K79&amp;K82,Table1113[],3,FALSE),"")),$B$85)</f>
        <v>19</v>
      </c>
      <c r="D137" s="114">
        <f>C137</f>
        <v>19</v>
      </c>
      <c r="E137" s="113">
        <f>C137</f>
        <v>19</v>
      </c>
      <c r="F137" s="114">
        <f>C137</f>
        <v>19</v>
      </c>
      <c r="G137" s="113">
        <f>C137</f>
        <v>19</v>
      </c>
      <c r="H137" s="114">
        <f>C137</f>
        <v>19</v>
      </c>
      <c r="I137" s="41" t="s">
        <v>23</v>
      </c>
      <c r="J137" s="59"/>
      <c r="N137" s="236"/>
    </row>
    <row r="138" spans="1:14" ht="15" customHeight="1" x14ac:dyDescent="0.25">
      <c r="A138" s="236"/>
      <c r="B138" s="223" t="s">
        <v>22</v>
      </c>
      <c r="C138" s="38">
        <f>IF(D25="","",D25)</f>
        <v>4</v>
      </c>
      <c r="D138" s="30">
        <f>C138</f>
        <v>4</v>
      </c>
      <c r="E138" s="38">
        <f>IF(D26="","",D26)</f>
        <v>4</v>
      </c>
      <c r="F138" s="30">
        <f>E138</f>
        <v>4</v>
      </c>
      <c r="G138" s="38">
        <f>IF(D27="","",D27)</f>
        <v>3.5</v>
      </c>
      <c r="H138" s="30">
        <f>G138</f>
        <v>3.5</v>
      </c>
      <c r="I138" s="41" t="s">
        <v>21</v>
      </c>
      <c r="J138" s="58"/>
      <c r="L138" s="23"/>
      <c r="M138" s="23"/>
      <c r="N138" s="236"/>
    </row>
    <row r="139" spans="1:14" ht="15" customHeight="1" x14ac:dyDescent="0.25">
      <c r="A139" s="236"/>
      <c r="B139" s="223" t="s">
        <v>53</v>
      </c>
      <c r="C139" s="39">
        <f>IF($K$83="","",$K$83)</f>
        <v>2145</v>
      </c>
      <c r="D139" s="28">
        <f>C139</f>
        <v>2145</v>
      </c>
      <c r="E139" s="39">
        <f>$O$83</f>
        <v>2145</v>
      </c>
      <c r="F139" s="28">
        <f>E139</f>
        <v>2145</v>
      </c>
      <c r="G139" s="39">
        <f>L83</f>
        <v>2145</v>
      </c>
      <c r="H139" s="28">
        <f>G139</f>
        <v>2145</v>
      </c>
      <c r="I139" s="41" t="s">
        <v>20</v>
      </c>
      <c r="J139" s="17"/>
      <c r="N139" s="236"/>
    </row>
    <row r="140" spans="1:14" ht="15" customHeight="1" x14ac:dyDescent="0.25">
      <c r="A140" s="236"/>
      <c r="B140" s="223" t="s">
        <v>48</v>
      </c>
      <c r="C140" s="62">
        <f>IF($K$84="","",$K$84)</f>
        <v>0.128</v>
      </c>
      <c r="D140" s="34">
        <f>C140</f>
        <v>0.128</v>
      </c>
      <c r="E140" s="62">
        <f>$O$84</f>
        <v>0.128</v>
      </c>
      <c r="F140" s="34">
        <f>E140</f>
        <v>0.128</v>
      </c>
      <c r="G140" s="62">
        <f>L84</f>
        <v>0.128</v>
      </c>
      <c r="H140" s="34">
        <f>G140</f>
        <v>0.128</v>
      </c>
      <c r="I140" s="41" t="s">
        <v>19</v>
      </c>
      <c r="J140" s="17"/>
      <c r="N140" s="236"/>
    </row>
    <row r="141" spans="1:14" ht="15" customHeight="1" x14ac:dyDescent="0.25">
      <c r="A141" s="236"/>
      <c r="N141" s="236"/>
    </row>
    <row r="142" spans="1:14" ht="15.75" customHeight="1" thickBot="1" x14ac:dyDescent="0.3">
      <c r="A142" s="236"/>
      <c r="C142" s="6" t="s">
        <v>82</v>
      </c>
      <c r="N142" s="236"/>
    </row>
    <row r="143" spans="1:14" ht="15" customHeight="1" x14ac:dyDescent="0.25">
      <c r="A143" s="236"/>
      <c r="C143" s="252" t="s">
        <v>18</v>
      </c>
      <c r="D143" s="253"/>
      <c r="E143" s="254"/>
      <c r="F143" s="252" t="s">
        <v>17</v>
      </c>
      <c r="G143" s="253"/>
      <c r="H143" s="254"/>
      <c r="N143" s="236"/>
    </row>
    <row r="144" spans="1:14" ht="15" customHeight="1" x14ac:dyDescent="0.25">
      <c r="A144" s="236"/>
      <c r="C144" s="20" t="s">
        <v>12</v>
      </c>
      <c r="D144" s="19" t="s">
        <v>11</v>
      </c>
      <c r="E144" s="19" t="s">
        <v>10</v>
      </c>
      <c r="F144" s="20" t="s">
        <v>12</v>
      </c>
      <c r="G144" s="19" t="s">
        <v>11</v>
      </c>
      <c r="H144" s="18" t="s">
        <v>10</v>
      </c>
      <c r="N144" s="236"/>
    </row>
    <row r="145" spans="1:14" ht="15" customHeight="1" x14ac:dyDescent="0.25">
      <c r="A145" s="236"/>
      <c r="C145" s="16" t="s">
        <v>8</v>
      </c>
      <c r="D145" s="15" t="s">
        <v>7</v>
      </c>
      <c r="E145" s="15" t="s">
        <v>353</v>
      </c>
      <c r="F145" s="16" t="s">
        <v>8</v>
      </c>
      <c r="G145" s="15" t="s">
        <v>7</v>
      </c>
      <c r="H145" s="14" t="s">
        <v>353</v>
      </c>
      <c r="N145" s="236"/>
    </row>
    <row r="146" spans="1:14" ht="15.75" customHeight="1" thickBot="1" x14ac:dyDescent="0.3">
      <c r="A146" s="236"/>
      <c r="C146" s="13">
        <f>IFERROR(8*C133*C135^3/(C134*C136*C138),"")</f>
        <v>1.8648018648018651E-2</v>
      </c>
      <c r="D146" s="12">
        <f>IFERROR(C133*C135/(C137*1000),"")</f>
        <v>0.20242914979757087</v>
      </c>
      <c r="E146" s="11">
        <f>IFERROR(C140*C133*C135/C139*(C135/C138),"")</f>
        <v>0.45902815133584368</v>
      </c>
      <c r="F146" s="13">
        <f>IFERROR(8*D133*D135^3/(D134*D136*D138),"")</f>
        <v>2.3310023310023314E-3</v>
      </c>
      <c r="G146" s="12">
        <f>IFERROR(D133*D135/(D137*1000),"")</f>
        <v>0.10121457489878544</v>
      </c>
      <c r="H146" s="11">
        <f>IFERROR(D140*D133*D135/D139*(D135/D138),"")</f>
        <v>0.11475703783396092</v>
      </c>
      <c r="N146" s="236"/>
    </row>
    <row r="147" spans="1:14" ht="15.75" customHeight="1" thickBot="1" x14ac:dyDescent="0.3">
      <c r="A147" s="236"/>
      <c r="C147" s="10"/>
      <c r="D147" s="67" t="s">
        <v>16</v>
      </c>
      <c r="E147" s="7">
        <f>SUM(C146:E146)</f>
        <v>0.68010531978143318</v>
      </c>
      <c r="F147" s="9"/>
      <c r="G147" s="67" t="s">
        <v>16</v>
      </c>
      <c r="H147" s="7">
        <f>SUM(F146:H146)</f>
        <v>0.21830261506374871</v>
      </c>
      <c r="N147" s="236"/>
    </row>
    <row r="148" spans="1:14" ht="15" customHeight="1" x14ac:dyDescent="0.25">
      <c r="A148" s="236"/>
      <c r="C148" s="252" t="s">
        <v>15</v>
      </c>
      <c r="D148" s="253"/>
      <c r="E148" s="254"/>
      <c r="F148" s="252" t="s">
        <v>14</v>
      </c>
      <c r="G148" s="253"/>
      <c r="H148" s="254"/>
      <c r="J148" s="68" t="s">
        <v>13</v>
      </c>
      <c r="N148" s="236"/>
    </row>
    <row r="149" spans="1:14" ht="15" customHeight="1" x14ac:dyDescent="0.25">
      <c r="A149" s="236"/>
      <c r="C149" s="20" t="s">
        <v>12</v>
      </c>
      <c r="D149" s="19" t="s">
        <v>11</v>
      </c>
      <c r="E149" s="19" t="s">
        <v>10</v>
      </c>
      <c r="F149" s="20" t="s">
        <v>12</v>
      </c>
      <c r="G149" s="19" t="s">
        <v>11</v>
      </c>
      <c r="H149" s="18" t="s">
        <v>10</v>
      </c>
      <c r="J149" s="69" t="s">
        <v>9</v>
      </c>
      <c r="N149" s="236"/>
    </row>
    <row r="150" spans="1:14" ht="15" customHeight="1" x14ac:dyDescent="0.25">
      <c r="A150" s="236"/>
      <c r="C150" s="16" t="s">
        <v>8</v>
      </c>
      <c r="D150" s="15" t="s">
        <v>7</v>
      </c>
      <c r="E150" s="15" t="s">
        <v>353</v>
      </c>
      <c r="F150" s="16" t="s">
        <v>8</v>
      </c>
      <c r="G150" s="15" t="s">
        <v>7</v>
      </c>
      <c r="H150" s="14" t="s">
        <v>353</v>
      </c>
      <c r="J150" s="70">
        <f>IF(H146="","",AVERAGE(E147,H147,E152,H152,E157,H157))</f>
        <v>0.35221985563223274</v>
      </c>
      <c r="K150" s="3" t="s">
        <v>19</v>
      </c>
      <c r="N150" s="236"/>
    </row>
    <row r="151" spans="1:14" ht="15.75" customHeight="1" thickBot="1" x14ac:dyDescent="0.3">
      <c r="A151" s="236"/>
      <c r="C151" s="13">
        <f>IFERROR(8*E133*E135^3/(E134*E136*E138),"")</f>
        <v>2.6862026862026862E-3</v>
      </c>
      <c r="D151" s="12">
        <f>IFERROR(E133*E135/(E137*1000),"")</f>
        <v>0.11663774821669559</v>
      </c>
      <c r="E151" s="11">
        <f>IFERROR(E140*E133*E135/E139*(E135/E138),"")</f>
        <v>0.13224382455151687</v>
      </c>
      <c r="F151" s="13">
        <f>IFERROR(8*F133*F135^3/(F134*F136*F138),"")</f>
        <v>2.6862026862026862E-3</v>
      </c>
      <c r="G151" s="12">
        <f>IFERROR(F133*F135/(F137*1000),"")</f>
        <v>0.11663774821669559</v>
      </c>
      <c r="H151" s="11">
        <f>IFERROR(F140*F133*F135/F139*(F135/F138),"")</f>
        <v>0.13224382455151687</v>
      </c>
      <c r="J151" s="71">
        <f>IFERROR(4*J150/(C135*12),"")</f>
        <v>1.4675827318009697E-2</v>
      </c>
      <c r="K151" t="s">
        <v>6</v>
      </c>
      <c r="L151" s="17"/>
      <c r="N151" s="236"/>
    </row>
    <row r="152" spans="1:14" ht="15.75" customHeight="1" thickBot="1" x14ac:dyDescent="0.3">
      <c r="A152" s="236"/>
      <c r="C152" s="10"/>
      <c r="D152" s="67" t="s">
        <v>16</v>
      </c>
      <c r="E152" s="7">
        <f>SUM(C151:E151)</f>
        <v>0.25156777545441517</v>
      </c>
      <c r="F152" s="9"/>
      <c r="G152" s="67" t="s">
        <v>16</v>
      </c>
      <c r="H152" s="7">
        <f>SUM(F151:H151)</f>
        <v>0.25156777545441517</v>
      </c>
      <c r="L152" s="17"/>
      <c r="N152" s="236"/>
    </row>
    <row r="153" spans="1:14" ht="15" customHeight="1" x14ac:dyDescent="0.25">
      <c r="A153" s="236"/>
      <c r="C153" s="252" t="s">
        <v>47</v>
      </c>
      <c r="D153" s="253"/>
      <c r="E153" s="254"/>
      <c r="F153" s="252" t="s">
        <v>46</v>
      </c>
      <c r="G153" s="253"/>
      <c r="H153" s="254"/>
      <c r="J153" s="126"/>
      <c r="K153" s="124"/>
      <c r="L153" s="124"/>
      <c r="M153" s="124"/>
      <c r="N153" s="236"/>
    </row>
    <row r="154" spans="1:14" ht="15" customHeight="1" x14ac:dyDescent="0.25">
      <c r="A154" s="236"/>
      <c r="C154" s="20" t="s">
        <v>12</v>
      </c>
      <c r="D154" s="19" t="s">
        <v>11</v>
      </c>
      <c r="E154" s="19" t="s">
        <v>10</v>
      </c>
      <c r="F154" s="20" t="s">
        <v>12</v>
      </c>
      <c r="G154" s="19" t="s">
        <v>11</v>
      </c>
      <c r="H154" s="18" t="s">
        <v>10</v>
      </c>
      <c r="J154" s="3"/>
      <c r="K154" s="124"/>
      <c r="L154" s="124"/>
      <c r="M154" s="124"/>
      <c r="N154" s="236"/>
    </row>
    <row r="155" spans="1:14" ht="15" customHeight="1" x14ac:dyDescent="0.25">
      <c r="A155" s="236"/>
      <c r="C155" s="16" t="s">
        <v>8</v>
      </c>
      <c r="D155" s="15" t="s">
        <v>7</v>
      </c>
      <c r="E155" s="15" t="s">
        <v>353</v>
      </c>
      <c r="F155" s="16" t="s">
        <v>8</v>
      </c>
      <c r="G155" s="15" t="s">
        <v>7</v>
      </c>
      <c r="H155" s="14" t="s">
        <v>353</v>
      </c>
      <c r="N155" s="236"/>
    </row>
    <row r="156" spans="1:14" ht="15.75" customHeight="1" thickBot="1" x14ac:dyDescent="0.3">
      <c r="A156" s="236"/>
      <c r="C156" s="13">
        <f>IFERROR(8*G133*G135^3/(G134*G136*G138),"")</f>
        <v>1.9282304996590712E-3</v>
      </c>
      <c r="D156" s="12">
        <f>IFERROR(G133*G135/(G137*1000),"")</f>
        <v>7.3260073260073263E-2</v>
      </c>
      <c r="E156" s="11">
        <f>IFERROR(G140*G133*G135/G139*(G135/G138),"")</f>
        <v>9.4928270752446586E-2</v>
      </c>
      <c r="F156" s="13">
        <f>IFERROR(8*H133*H135^3/(H134*H136*H138),"")</f>
        <v>1.542584399727257E-2</v>
      </c>
      <c r="G156" s="12">
        <f>IFERROR(H133*H135/(H137*1000),"")</f>
        <v>0.14652014652014653</v>
      </c>
      <c r="H156" s="11">
        <f>IFERROR(H140*H133*H135/H139*(H135/H138),"")</f>
        <v>0.37971308300978635</v>
      </c>
      <c r="N156" s="236"/>
    </row>
    <row r="157" spans="1:14" ht="15.75" customHeight="1" thickBot="1" x14ac:dyDescent="0.3">
      <c r="A157" s="236"/>
      <c r="C157" s="10"/>
      <c r="D157" s="67" t="s">
        <v>16</v>
      </c>
      <c r="E157" s="7">
        <f>SUM(C156:E156)</f>
        <v>0.17011657451217893</v>
      </c>
      <c r="F157" s="9"/>
      <c r="G157" s="67" t="s">
        <v>16</v>
      </c>
      <c r="H157" s="7">
        <f>SUM(F156:H156)</f>
        <v>0.54165907352720544</v>
      </c>
      <c r="N157" s="236"/>
    </row>
    <row r="158" spans="1:14" ht="15" customHeight="1" x14ac:dyDescent="0.25">
      <c r="A158" s="236"/>
      <c r="C158" s="253"/>
      <c r="D158" s="253"/>
      <c r="E158" s="253"/>
      <c r="F158" s="253"/>
      <c r="G158" s="253"/>
      <c r="H158" s="253"/>
      <c r="N158" s="236"/>
    </row>
    <row r="159" spans="1:14" ht="15" customHeight="1" x14ac:dyDescent="0.25">
      <c r="A159" s="236"/>
      <c r="B159" s="255" t="s">
        <v>161</v>
      </c>
      <c r="C159" s="256"/>
      <c r="D159" s="256"/>
      <c r="E159" s="256"/>
      <c r="F159" s="256"/>
      <c r="G159" s="256"/>
      <c r="H159" s="256"/>
      <c r="I159" s="256"/>
      <c r="J159" s="256"/>
      <c r="K159" s="256"/>
      <c r="L159" s="256"/>
      <c r="M159" s="257"/>
      <c r="N159" s="236"/>
    </row>
    <row r="160" spans="1:14" x14ac:dyDescent="0.25">
      <c r="A160" s="164"/>
      <c r="B160" s="80"/>
      <c r="C160" s="80"/>
      <c r="D160" s="80"/>
      <c r="E160" s="80"/>
      <c r="F160" s="80"/>
      <c r="G160" s="80"/>
      <c r="H160" s="80"/>
      <c r="I160" s="80"/>
      <c r="J160" s="80"/>
      <c r="K160" s="80"/>
      <c r="L160" s="80"/>
      <c r="M160" s="80"/>
      <c r="N160" s="164"/>
    </row>
    <row r="161" spans="1:14" ht="15.75" thickBot="1" x14ac:dyDescent="0.3">
      <c r="A161" s="164"/>
      <c r="B161" s="258" t="s">
        <v>142</v>
      </c>
      <c r="C161" s="258"/>
      <c r="D161" s="258"/>
      <c r="E161" s="258"/>
      <c r="F161" s="258"/>
      <c r="G161" s="258"/>
      <c r="H161" s="258"/>
      <c r="I161" s="258"/>
      <c r="J161" s="258"/>
      <c r="K161" s="258"/>
      <c r="L161" s="258"/>
      <c r="M161" s="258"/>
      <c r="N161" s="164"/>
    </row>
    <row r="162" spans="1:14" ht="15" customHeight="1" x14ac:dyDescent="0.25">
      <c r="A162" s="164"/>
      <c r="B162" s="250" t="s">
        <v>371</v>
      </c>
      <c r="C162" s="250"/>
      <c r="D162" s="250"/>
      <c r="E162" s="250"/>
      <c r="F162" s="250"/>
      <c r="G162" s="250"/>
      <c r="H162" s="250"/>
      <c r="I162" s="250"/>
      <c r="J162" s="250"/>
      <c r="K162" s="250"/>
      <c r="L162" s="250"/>
      <c r="M162" s="250"/>
      <c r="N162" s="164"/>
    </row>
    <row r="163" spans="1:14" x14ac:dyDescent="0.25">
      <c r="A163" s="164"/>
      <c r="B163" s="251"/>
      <c r="C163" s="251"/>
      <c r="D163" s="251"/>
      <c r="E163" s="251"/>
      <c r="F163" s="251"/>
      <c r="G163" s="251"/>
      <c r="H163" s="251"/>
      <c r="I163" s="251"/>
      <c r="J163" s="251"/>
      <c r="K163" s="251"/>
      <c r="L163" s="251"/>
      <c r="M163" s="251"/>
      <c r="N163" s="164"/>
    </row>
    <row r="164" spans="1:14" x14ac:dyDescent="0.25">
      <c r="A164" s="164"/>
      <c r="B164" s="251"/>
      <c r="C164" s="251"/>
      <c r="D164" s="251"/>
      <c r="E164" s="251"/>
      <c r="F164" s="251"/>
      <c r="G164" s="251"/>
      <c r="H164" s="251"/>
      <c r="I164" s="251"/>
      <c r="J164" s="251"/>
      <c r="K164" s="251"/>
      <c r="L164" s="251"/>
      <c r="M164" s="251"/>
      <c r="N164" s="164"/>
    </row>
    <row r="165" spans="1:14" x14ac:dyDescent="0.25">
      <c r="A165" s="164"/>
      <c r="B165" s="251"/>
      <c r="C165" s="251"/>
      <c r="D165" s="251"/>
      <c r="E165" s="251"/>
      <c r="F165" s="251"/>
      <c r="G165" s="251"/>
      <c r="H165" s="251"/>
      <c r="I165" s="251"/>
      <c r="J165" s="251"/>
      <c r="K165" s="251"/>
      <c r="L165" s="251"/>
      <c r="M165" s="251"/>
      <c r="N165" s="164"/>
    </row>
    <row r="166" spans="1:14" x14ac:dyDescent="0.25">
      <c r="A166" s="164"/>
      <c r="B166" s="251"/>
      <c r="C166" s="251"/>
      <c r="D166" s="251"/>
      <c r="E166" s="251"/>
      <c r="F166" s="251"/>
      <c r="G166" s="251"/>
      <c r="H166" s="251"/>
      <c r="I166" s="251"/>
      <c r="J166" s="251"/>
      <c r="K166" s="251"/>
      <c r="L166" s="251"/>
      <c r="M166" s="251"/>
      <c r="N166" s="164"/>
    </row>
    <row r="167" spans="1:14" x14ac:dyDescent="0.25">
      <c r="A167" s="164"/>
      <c r="B167" s="164"/>
      <c r="C167" s="164"/>
      <c r="D167" s="164"/>
      <c r="E167" s="164"/>
      <c r="F167" s="164"/>
      <c r="G167" s="164"/>
      <c r="H167" s="164"/>
      <c r="I167" s="164"/>
      <c r="J167" s="164"/>
      <c r="K167" s="164"/>
      <c r="L167" s="164"/>
      <c r="M167" s="164"/>
      <c r="N167" s="164"/>
    </row>
    <row r="168" spans="1:14" x14ac:dyDescent="0.25">
      <c r="A168" s="164"/>
      <c r="B168" s="164"/>
      <c r="C168" s="164"/>
      <c r="D168" s="164"/>
      <c r="E168" s="164"/>
      <c r="F168" s="164"/>
      <c r="G168" s="164"/>
      <c r="H168" s="164"/>
      <c r="I168" s="164"/>
      <c r="J168" s="164"/>
      <c r="K168" s="164"/>
      <c r="L168" s="164"/>
      <c r="M168" s="164"/>
      <c r="N168" s="164"/>
    </row>
    <row r="169" spans="1:14" x14ac:dyDescent="0.25">
      <c r="A169" s="164"/>
      <c r="B169" s="164"/>
      <c r="C169" s="164"/>
      <c r="D169" s="164"/>
      <c r="E169" s="164"/>
      <c r="F169" s="164"/>
      <c r="G169" s="164"/>
      <c r="H169" s="164"/>
      <c r="I169" s="164"/>
      <c r="J169" s="164"/>
      <c r="K169" s="164"/>
      <c r="L169" s="164"/>
      <c r="M169" s="164"/>
      <c r="N169" s="164"/>
    </row>
    <row r="170" spans="1:14" x14ac:dyDescent="0.25">
      <c r="A170" s="164"/>
      <c r="B170" s="164"/>
      <c r="C170" s="164"/>
      <c r="D170" s="164"/>
      <c r="E170" s="164"/>
      <c r="F170" s="164"/>
      <c r="G170" s="164"/>
      <c r="H170" s="164"/>
      <c r="I170" s="164"/>
      <c r="J170" s="164"/>
      <c r="K170" s="164"/>
      <c r="L170" s="164"/>
      <c r="M170" s="164"/>
      <c r="N170" s="164"/>
    </row>
    <row r="171" spans="1:14" x14ac:dyDescent="0.25">
      <c r="A171" s="164"/>
      <c r="B171" s="164"/>
      <c r="C171" s="164"/>
      <c r="D171" s="164"/>
      <c r="E171" s="164"/>
      <c r="F171" s="164"/>
      <c r="G171" s="164"/>
      <c r="H171" s="164"/>
      <c r="I171" s="164"/>
      <c r="J171" s="164"/>
      <c r="K171" s="164"/>
      <c r="L171" s="164"/>
      <c r="M171" s="164"/>
      <c r="N171" s="164"/>
    </row>
    <row r="172" spans="1:14" x14ac:dyDescent="0.25">
      <c r="A172" s="164"/>
      <c r="B172" s="164"/>
      <c r="C172" s="164"/>
      <c r="D172" s="164"/>
      <c r="E172" s="164"/>
      <c r="F172" s="164"/>
      <c r="G172" s="164"/>
      <c r="H172" s="164"/>
      <c r="I172" s="164"/>
      <c r="J172" s="164"/>
      <c r="K172" s="164"/>
      <c r="L172" s="164"/>
      <c r="M172" s="164"/>
      <c r="N172" s="164"/>
    </row>
    <row r="173" spans="1:14" x14ac:dyDescent="0.25">
      <c r="A173" s="164"/>
      <c r="B173" s="164"/>
      <c r="C173" s="164"/>
      <c r="D173" s="164"/>
      <c r="E173" s="164"/>
      <c r="F173" s="164"/>
      <c r="G173" s="164"/>
      <c r="H173" s="164"/>
      <c r="I173" s="164"/>
      <c r="J173" s="164"/>
      <c r="K173" s="164"/>
      <c r="L173" s="164"/>
      <c r="M173" s="164"/>
      <c r="N173" s="164"/>
    </row>
    <row r="174" spans="1:14" x14ac:dyDescent="0.25">
      <c r="A174" s="164"/>
      <c r="B174" s="164"/>
      <c r="C174" s="164"/>
      <c r="D174" s="164"/>
      <c r="E174" s="164"/>
      <c r="F174" s="164"/>
      <c r="G174" s="164"/>
      <c r="H174" s="164"/>
      <c r="I174" s="164"/>
      <c r="J174" s="164"/>
      <c r="K174" s="164"/>
      <c r="L174" s="164"/>
      <c r="M174" s="164"/>
      <c r="N174" s="164"/>
    </row>
    <row r="175" spans="1:14" x14ac:dyDescent="0.25">
      <c r="A175" s="164"/>
      <c r="B175" s="164"/>
      <c r="C175" s="164"/>
      <c r="D175" s="164"/>
      <c r="E175" s="164"/>
      <c r="F175" s="164"/>
      <c r="G175" s="164"/>
      <c r="H175" s="164"/>
      <c r="I175" s="164"/>
      <c r="J175" s="164"/>
      <c r="K175" s="164"/>
      <c r="L175" s="164"/>
      <c r="M175" s="164"/>
      <c r="N175" s="164"/>
    </row>
    <row r="176" spans="1:14" x14ac:dyDescent="0.25">
      <c r="A176" s="164"/>
      <c r="B176" s="164"/>
      <c r="C176" s="164"/>
      <c r="D176" s="164"/>
      <c r="E176" s="164"/>
      <c r="F176" s="164"/>
      <c r="G176" s="164"/>
      <c r="H176" s="164"/>
      <c r="I176" s="164"/>
      <c r="J176" s="164"/>
      <c r="K176" s="164"/>
      <c r="L176" s="164"/>
      <c r="M176" s="164"/>
      <c r="N176" s="164"/>
    </row>
    <row r="177" spans="1:14" x14ac:dyDescent="0.25">
      <c r="A177" s="164"/>
      <c r="B177" s="164"/>
      <c r="C177" s="164"/>
      <c r="D177" s="164"/>
      <c r="E177" s="164"/>
      <c r="F177" s="164"/>
      <c r="G177" s="164"/>
      <c r="H177" s="164"/>
      <c r="I177" s="164"/>
      <c r="J177" s="164"/>
      <c r="K177" s="164"/>
      <c r="L177" s="164"/>
      <c r="M177" s="164"/>
      <c r="N177" s="164"/>
    </row>
    <row r="178" spans="1:14" x14ac:dyDescent="0.25">
      <c r="A178" s="164"/>
      <c r="B178" s="164"/>
      <c r="C178" s="164"/>
      <c r="D178" s="164"/>
      <c r="E178" s="164"/>
      <c r="F178" s="164"/>
      <c r="G178" s="164"/>
      <c r="H178" s="164"/>
      <c r="I178" s="164"/>
      <c r="J178" s="164"/>
      <c r="K178" s="164"/>
      <c r="L178" s="164"/>
      <c r="M178" s="164"/>
      <c r="N178" s="164"/>
    </row>
    <row r="179" spans="1:14" x14ac:dyDescent="0.25">
      <c r="A179" s="164"/>
      <c r="B179" s="164"/>
      <c r="C179" s="164"/>
      <c r="D179" s="164"/>
      <c r="E179" s="164"/>
      <c r="F179" s="164"/>
      <c r="G179" s="164"/>
      <c r="H179" s="164"/>
      <c r="I179" s="164"/>
      <c r="J179" s="164"/>
      <c r="K179" s="164"/>
      <c r="L179" s="164"/>
      <c r="M179" s="164"/>
      <c r="N179" s="164"/>
    </row>
    <row r="180" spans="1:14" x14ac:dyDescent="0.25">
      <c r="A180" s="164"/>
      <c r="B180" s="164"/>
      <c r="C180" s="164"/>
      <c r="D180" s="164"/>
      <c r="E180" s="164"/>
      <c r="F180" s="164"/>
      <c r="G180" s="164"/>
      <c r="H180" s="164"/>
      <c r="I180" s="164"/>
      <c r="J180" s="164"/>
      <c r="K180" s="164"/>
      <c r="L180" s="164"/>
      <c r="M180" s="164"/>
      <c r="N180" s="164"/>
    </row>
    <row r="181" spans="1:14" x14ac:dyDescent="0.25">
      <c r="A181" s="164"/>
      <c r="B181" s="164"/>
      <c r="C181" s="164"/>
      <c r="D181" s="164"/>
      <c r="E181" s="164"/>
      <c r="F181" s="164"/>
      <c r="G181" s="164"/>
      <c r="H181" s="164"/>
      <c r="I181" s="164"/>
      <c r="J181" s="164"/>
      <c r="K181" s="164"/>
      <c r="L181" s="164"/>
      <c r="M181" s="164"/>
      <c r="N181" s="164"/>
    </row>
    <row r="182" spans="1:14" x14ac:dyDescent="0.25">
      <c r="A182" s="164"/>
      <c r="B182" s="164"/>
      <c r="C182" s="164"/>
      <c r="D182" s="164"/>
      <c r="E182" s="164"/>
      <c r="F182" s="164"/>
      <c r="G182" s="164"/>
      <c r="H182" s="164"/>
      <c r="I182" s="164"/>
      <c r="J182" s="164"/>
      <c r="K182" s="164"/>
      <c r="L182" s="164"/>
      <c r="M182" s="164"/>
      <c r="N182" s="164"/>
    </row>
    <row r="183" spans="1:14" x14ac:dyDescent="0.25">
      <c r="A183" s="164"/>
      <c r="B183" s="164"/>
      <c r="C183" s="164"/>
      <c r="D183" s="164"/>
      <c r="E183" s="164"/>
      <c r="F183" s="164"/>
      <c r="G183" s="164"/>
      <c r="H183" s="164"/>
      <c r="I183" s="164"/>
      <c r="J183" s="164"/>
      <c r="K183" s="164"/>
      <c r="L183" s="164"/>
      <c r="M183" s="164"/>
      <c r="N183" s="164"/>
    </row>
    <row r="184" spans="1:14" x14ac:dyDescent="0.25">
      <c r="A184" s="164"/>
      <c r="B184" s="164"/>
      <c r="C184" s="164"/>
      <c r="D184" s="164"/>
      <c r="E184" s="164"/>
      <c r="F184" s="164"/>
      <c r="G184" s="164"/>
      <c r="H184" s="164"/>
      <c r="I184" s="164"/>
      <c r="J184" s="164"/>
      <c r="K184" s="164"/>
      <c r="L184" s="164"/>
      <c r="M184" s="164"/>
      <c r="N184" s="164"/>
    </row>
    <row r="185" spans="1:14" x14ac:dyDescent="0.25">
      <c r="A185" s="164"/>
      <c r="B185" s="164"/>
      <c r="C185" s="164"/>
      <c r="D185" s="164"/>
      <c r="E185" s="164"/>
      <c r="F185" s="164"/>
      <c r="G185" s="164"/>
      <c r="H185" s="164"/>
      <c r="I185" s="164"/>
      <c r="J185" s="164"/>
      <c r="K185" s="164"/>
      <c r="L185" s="164"/>
      <c r="M185" s="164"/>
      <c r="N185" s="164"/>
    </row>
    <row r="186" spans="1:14" x14ac:dyDescent="0.25">
      <c r="A186" s="164"/>
      <c r="B186" s="164"/>
      <c r="C186" s="164"/>
      <c r="D186" s="164"/>
      <c r="E186" s="164"/>
      <c r="F186" s="164"/>
      <c r="G186" s="164"/>
      <c r="H186" s="164"/>
      <c r="I186" s="164"/>
      <c r="J186" s="164"/>
      <c r="K186" s="164"/>
      <c r="L186" s="164"/>
      <c r="M186" s="164"/>
      <c r="N186" s="164"/>
    </row>
    <row r="187" spans="1:14" x14ac:dyDescent="0.25">
      <c r="A187" s="164"/>
      <c r="B187" s="164"/>
      <c r="C187" s="164"/>
      <c r="D187" s="164"/>
      <c r="E187" s="164"/>
      <c r="F187" s="164"/>
      <c r="G187" s="164"/>
      <c r="H187" s="164"/>
      <c r="I187" s="164"/>
      <c r="J187" s="164"/>
      <c r="K187" s="164"/>
      <c r="L187" s="164"/>
      <c r="M187" s="164"/>
      <c r="N187" s="164"/>
    </row>
    <row r="188" spans="1:14" x14ac:dyDescent="0.25">
      <c r="A188" s="164"/>
      <c r="B188" s="164"/>
      <c r="C188" s="164"/>
      <c r="D188" s="164"/>
      <c r="E188" s="164"/>
      <c r="F188" s="164"/>
      <c r="G188" s="164"/>
      <c r="H188" s="164"/>
      <c r="I188" s="164"/>
      <c r="J188" s="164"/>
      <c r="K188" s="164"/>
      <c r="L188" s="164"/>
      <c r="M188" s="164"/>
      <c r="N188" s="164"/>
    </row>
    <row r="189" spans="1:14" x14ac:dyDescent="0.25">
      <c r="A189" s="164"/>
      <c r="B189" s="164"/>
      <c r="C189" s="164"/>
      <c r="D189" s="164"/>
      <c r="E189" s="164"/>
      <c r="F189" s="164"/>
      <c r="G189" s="164"/>
      <c r="H189" s="164"/>
      <c r="I189" s="164"/>
      <c r="J189" s="164"/>
      <c r="K189" s="164"/>
      <c r="L189" s="164"/>
      <c r="M189" s="164"/>
      <c r="N189" s="164"/>
    </row>
    <row r="190" spans="1:14" x14ac:dyDescent="0.25">
      <c r="A190" s="164"/>
      <c r="B190" s="164"/>
      <c r="C190" s="164"/>
      <c r="D190" s="164"/>
      <c r="E190" s="164"/>
      <c r="F190" s="164"/>
      <c r="G190" s="164"/>
      <c r="H190" s="164"/>
      <c r="I190" s="164"/>
      <c r="J190" s="164"/>
      <c r="K190" s="164"/>
      <c r="L190" s="164"/>
      <c r="M190" s="164"/>
      <c r="N190" s="164"/>
    </row>
    <row r="191" spans="1:14" x14ac:dyDescent="0.25">
      <c r="A191" s="164"/>
      <c r="B191" s="164"/>
      <c r="C191" s="164"/>
      <c r="D191" s="164"/>
      <c r="E191" s="164"/>
      <c r="F191" s="164"/>
      <c r="G191" s="164"/>
      <c r="H191" s="164"/>
      <c r="I191" s="164"/>
      <c r="J191" s="164"/>
      <c r="K191" s="164"/>
      <c r="L191" s="164"/>
      <c r="M191" s="164"/>
      <c r="N191" s="164"/>
    </row>
    <row r="192" spans="1:14" x14ac:dyDescent="0.25">
      <c r="A192" s="164"/>
      <c r="B192" s="164"/>
      <c r="C192" s="164"/>
      <c r="D192" s="164"/>
      <c r="E192" s="164"/>
      <c r="F192" s="164"/>
      <c r="G192" s="164"/>
      <c r="H192" s="164"/>
      <c r="I192" s="164"/>
      <c r="J192" s="164"/>
      <c r="K192" s="164"/>
      <c r="L192" s="164"/>
      <c r="M192" s="164"/>
      <c r="N192" s="164"/>
    </row>
    <row r="193" spans="1:14" x14ac:dyDescent="0.25">
      <c r="A193" s="164"/>
      <c r="B193" s="164"/>
      <c r="C193" s="164"/>
      <c r="D193" s="164"/>
      <c r="E193" s="164"/>
      <c r="F193" s="164"/>
      <c r="G193" s="164"/>
      <c r="H193" s="164"/>
      <c r="I193" s="164"/>
      <c r="J193" s="164"/>
      <c r="K193" s="164"/>
      <c r="L193" s="164"/>
      <c r="M193" s="164"/>
      <c r="N193" s="164"/>
    </row>
    <row r="194" spans="1:14" x14ac:dyDescent="0.25">
      <c r="A194" s="164"/>
      <c r="B194" s="164"/>
      <c r="C194" s="164"/>
      <c r="D194" s="164"/>
      <c r="E194" s="164"/>
      <c r="F194" s="164"/>
      <c r="G194" s="164"/>
      <c r="H194" s="164"/>
      <c r="I194" s="164"/>
      <c r="J194" s="164"/>
      <c r="K194" s="164"/>
      <c r="L194" s="164"/>
      <c r="M194" s="164"/>
      <c r="N194" s="164"/>
    </row>
    <row r="195" spans="1:14" x14ac:dyDescent="0.25">
      <c r="A195" s="164"/>
      <c r="B195" s="164"/>
      <c r="C195" s="164"/>
      <c r="D195" s="164"/>
      <c r="E195" s="164"/>
      <c r="F195" s="164"/>
      <c r="G195" s="164"/>
      <c r="H195" s="164"/>
      <c r="I195" s="164"/>
      <c r="J195" s="164"/>
      <c r="K195" s="164"/>
      <c r="L195" s="164"/>
      <c r="M195" s="164"/>
      <c r="N195" s="164"/>
    </row>
    <row r="196" spans="1:14" x14ac:dyDescent="0.25">
      <c r="A196" s="164"/>
      <c r="B196" s="164"/>
      <c r="C196" s="164"/>
      <c r="D196" s="164"/>
      <c r="E196" s="164"/>
      <c r="F196" s="164"/>
      <c r="G196" s="164"/>
      <c r="H196" s="164"/>
      <c r="I196" s="164"/>
      <c r="J196" s="164"/>
      <c r="K196" s="164"/>
      <c r="L196" s="164"/>
      <c r="M196" s="164"/>
      <c r="N196" s="164"/>
    </row>
    <row r="197" spans="1:14" x14ac:dyDescent="0.25">
      <c r="A197" s="164"/>
      <c r="B197" s="164"/>
      <c r="C197" s="164"/>
      <c r="D197" s="164"/>
      <c r="E197" s="164"/>
      <c r="F197" s="164"/>
      <c r="G197" s="164"/>
      <c r="H197" s="164"/>
      <c r="I197" s="164"/>
      <c r="J197" s="164"/>
      <c r="K197" s="164"/>
      <c r="L197" s="164"/>
      <c r="M197" s="164"/>
      <c r="N197" s="164"/>
    </row>
    <row r="198" spans="1:14" x14ac:dyDescent="0.25">
      <c r="A198" s="164"/>
      <c r="B198" s="164"/>
      <c r="C198" s="164"/>
      <c r="D198" s="164"/>
      <c r="E198" s="164"/>
      <c r="F198" s="164"/>
      <c r="G198" s="164"/>
      <c r="H198" s="164"/>
      <c r="I198" s="164"/>
      <c r="J198" s="164"/>
      <c r="K198" s="164"/>
      <c r="L198" s="164"/>
      <c r="M198" s="164"/>
      <c r="N198" s="164"/>
    </row>
    <row r="199" spans="1:14" x14ac:dyDescent="0.25">
      <c r="A199" s="164"/>
      <c r="B199" s="164"/>
      <c r="C199" s="164"/>
      <c r="D199" s="164"/>
      <c r="E199" s="164"/>
      <c r="F199" s="164"/>
      <c r="G199" s="164"/>
      <c r="H199" s="164"/>
      <c r="I199" s="164"/>
      <c r="J199" s="164"/>
      <c r="K199" s="164"/>
      <c r="L199" s="164"/>
      <c r="M199" s="164"/>
      <c r="N199" s="164"/>
    </row>
    <row r="200" spans="1:14" x14ac:dyDescent="0.25">
      <c r="A200" s="164"/>
      <c r="B200" s="164"/>
      <c r="C200" s="164"/>
      <c r="D200" s="164"/>
      <c r="E200" s="164"/>
      <c r="F200" s="164"/>
      <c r="G200" s="164"/>
      <c r="H200" s="164"/>
      <c r="I200" s="164"/>
      <c r="J200" s="164"/>
      <c r="K200" s="164"/>
      <c r="L200" s="164"/>
      <c r="M200" s="164"/>
      <c r="N200" s="164"/>
    </row>
    <row r="201" spans="1:14" x14ac:dyDescent="0.25">
      <c r="A201" s="164"/>
      <c r="B201" s="164"/>
      <c r="C201" s="164"/>
      <c r="D201" s="164"/>
      <c r="E201" s="164"/>
      <c r="F201" s="164"/>
      <c r="G201" s="164"/>
      <c r="H201" s="164"/>
      <c r="I201" s="164"/>
      <c r="J201" s="164"/>
      <c r="K201" s="164"/>
      <c r="L201" s="164"/>
      <c r="M201" s="164"/>
      <c r="N201" s="164"/>
    </row>
    <row r="202" spans="1:14" x14ac:dyDescent="0.25">
      <c r="A202" s="164"/>
      <c r="B202" s="164"/>
      <c r="C202" s="164"/>
      <c r="D202" s="164"/>
      <c r="E202" s="164"/>
      <c r="F202" s="164"/>
      <c r="G202" s="164"/>
      <c r="H202" s="164"/>
      <c r="I202" s="164"/>
      <c r="J202" s="164"/>
      <c r="K202" s="164"/>
      <c r="L202" s="164"/>
      <c r="M202" s="164"/>
      <c r="N202" s="164"/>
    </row>
    <row r="203" spans="1:14" x14ac:dyDescent="0.25">
      <c r="A203" s="164"/>
      <c r="B203" s="164"/>
      <c r="C203" s="164"/>
      <c r="D203" s="164"/>
      <c r="E203" s="164"/>
      <c r="F203" s="164"/>
      <c r="G203" s="164"/>
      <c r="H203" s="164"/>
      <c r="I203" s="164"/>
      <c r="J203" s="164"/>
      <c r="K203" s="164"/>
      <c r="L203" s="164"/>
      <c r="M203" s="164"/>
      <c r="N203" s="164"/>
    </row>
    <row r="204" spans="1:14" x14ac:dyDescent="0.25">
      <c r="A204" s="164"/>
      <c r="B204" s="164"/>
      <c r="C204" s="164"/>
      <c r="D204" s="164"/>
      <c r="E204" s="164"/>
      <c r="F204" s="164"/>
      <c r="G204" s="164"/>
      <c r="H204" s="164"/>
      <c r="I204" s="164"/>
      <c r="J204" s="164"/>
      <c r="K204" s="164"/>
      <c r="L204" s="164"/>
      <c r="M204" s="164"/>
      <c r="N204" s="164"/>
    </row>
    <row r="205" spans="1:14" x14ac:dyDescent="0.25">
      <c r="A205" s="164"/>
      <c r="B205" s="164"/>
      <c r="C205" s="164"/>
      <c r="D205" s="164"/>
      <c r="E205" s="164"/>
      <c r="F205" s="164"/>
      <c r="G205" s="164"/>
      <c r="H205" s="164"/>
      <c r="I205" s="164"/>
      <c r="J205" s="164"/>
      <c r="K205" s="164"/>
      <c r="L205" s="164"/>
      <c r="M205" s="164"/>
      <c r="N205" s="164"/>
    </row>
    <row r="206" spans="1:14" x14ac:dyDescent="0.25">
      <c r="A206" s="164"/>
      <c r="B206" s="164"/>
      <c r="C206" s="164"/>
      <c r="D206" s="164"/>
      <c r="E206" s="164"/>
      <c r="F206" s="164"/>
      <c r="G206" s="164"/>
      <c r="H206" s="164"/>
      <c r="I206" s="164"/>
      <c r="J206" s="164"/>
      <c r="K206" s="164"/>
      <c r="L206" s="164"/>
      <c r="M206" s="164"/>
      <c r="N206" s="164"/>
    </row>
    <row r="207" spans="1:14" x14ac:dyDescent="0.25">
      <c r="A207" s="164"/>
      <c r="B207" s="164"/>
      <c r="C207" s="164"/>
      <c r="D207" s="164"/>
      <c r="E207" s="164"/>
      <c r="F207" s="164"/>
      <c r="G207" s="164"/>
      <c r="H207" s="164"/>
      <c r="I207" s="164"/>
      <c r="J207" s="164"/>
      <c r="K207" s="164"/>
      <c r="L207" s="164"/>
      <c r="M207" s="164"/>
      <c r="N207" s="164"/>
    </row>
    <row r="208" spans="1:14" x14ac:dyDescent="0.25">
      <c r="A208" s="164"/>
      <c r="B208" s="164"/>
      <c r="C208" s="164"/>
      <c r="D208" s="164"/>
      <c r="E208" s="164"/>
      <c r="F208" s="164"/>
      <c r="G208" s="164"/>
      <c r="H208" s="164"/>
      <c r="I208" s="164"/>
      <c r="J208" s="164"/>
      <c r="K208" s="164"/>
      <c r="L208" s="164"/>
      <c r="M208" s="164"/>
      <c r="N208" s="164"/>
    </row>
  </sheetData>
  <sheetProtection algorithmName="SHA-512" hashValue="Bg+LXh157NSfayOFPRuLvS40497uUv97n2V8gBaodWUoLC+765zgfF1rhzgjWB/qXHWeNRmVZoo6acUkwzExIg==" saltValue="wUSGPS/Bty5vgvdzM+drnQ==" spinCount="100000" sheet="1" objects="1" scenarios="1" selectLockedCells="1" selectUnlockedCells="1"/>
  <protectedRanges>
    <protectedRange sqref="C4 L4 C5:M8 D24:D27 F25:F28 H28 B80:C82 B84:C85 G80:G81 G83:H83 G85 K79 K82:K84 L24" name="Range1"/>
  </protectedRanges>
  <mergeCells count="62">
    <mergeCell ref="A1:A159"/>
    <mergeCell ref="B1:M1"/>
    <mergeCell ref="N1:N159"/>
    <mergeCell ref="B2:L2"/>
    <mergeCell ref="C4:J4"/>
    <mergeCell ref="L4:M4"/>
    <mergeCell ref="C5:M5"/>
    <mergeCell ref="C6:M6"/>
    <mergeCell ref="C7:M7"/>
    <mergeCell ref="C8:M8"/>
    <mergeCell ref="B73:D73"/>
    <mergeCell ref="F73:H73"/>
    <mergeCell ref="J73:L73"/>
    <mergeCell ref="B23:M23"/>
    <mergeCell ref="J24:K24"/>
    <mergeCell ref="J25:K25"/>
    <mergeCell ref="J29:L29"/>
    <mergeCell ref="I32:K32"/>
    <mergeCell ref="C33:F33"/>
    <mergeCell ref="I33:K33"/>
    <mergeCell ref="C34:F34"/>
    <mergeCell ref="I34:K34"/>
    <mergeCell ref="C35:F35"/>
    <mergeCell ref="I35:K35"/>
    <mergeCell ref="B72:M72"/>
    <mergeCell ref="B74:D74"/>
    <mergeCell ref="F74:H74"/>
    <mergeCell ref="J74:L74"/>
    <mergeCell ref="B75:D75"/>
    <mergeCell ref="B76:D76"/>
    <mergeCell ref="G76:M76"/>
    <mergeCell ref="J92:L93"/>
    <mergeCell ref="B78:E78"/>
    <mergeCell ref="B79:C79"/>
    <mergeCell ref="F79:H79"/>
    <mergeCell ref="B80:C80"/>
    <mergeCell ref="G80:H80"/>
    <mergeCell ref="B81:C81"/>
    <mergeCell ref="B82:C82"/>
    <mergeCell ref="B83:C83"/>
    <mergeCell ref="B84:C84"/>
    <mergeCell ref="B85:C85"/>
    <mergeCell ref="B87:F87"/>
    <mergeCell ref="C108:F108"/>
    <mergeCell ref="G108:J108"/>
    <mergeCell ref="C113:F113"/>
    <mergeCell ref="G113:J113"/>
    <mergeCell ref="C118:F118"/>
    <mergeCell ref="G118:J118"/>
    <mergeCell ref="B125:F125"/>
    <mergeCell ref="J130:L132"/>
    <mergeCell ref="C143:E143"/>
    <mergeCell ref="F143:H143"/>
    <mergeCell ref="C148:E148"/>
    <mergeCell ref="F148:H148"/>
    <mergeCell ref="B162:M166"/>
    <mergeCell ref="C153:E153"/>
    <mergeCell ref="F153:H153"/>
    <mergeCell ref="C158:E158"/>
    <mergeCell ref="F158:H158"/>
    <mergeCell ref="B159:M159"/>
    <mergeCell ref="B161:M161"/>
  </mergeCells>
  <conditionalFormatting sqref="J130">
    <cfRule type="expression" dxfId="36" priority="4">
      <formula>$C$137="N/A"</formula>
    </cfRule>
  </conditionalFormatting>
  <conditionalFormatting sqref="J92">
    <cfRule type="expression" dxfId="35" priority="3">
      <formula>$C$99="N/A"</formula>
    </cfRule>
  </conditionalFormatting>
  <conditionalFormatting sqref="G76:M76">
    <cfRule type="expression" dxfId="34" priority="2">
      <formula>$F$83="**"</formula>
    </cfRule>
  </conditionalFormatting>
  <conditionalFormatting sqref="J29:L29">
    <cfRule type="expression" dxfId="33" priority="1">
      <formula>$J$29="No Good. Aspect Ratios &gt; 3.5"</formula>
    </cfRule>
  </conditionalFormatting>
  <dataValidations disablePrompts="1" count="1">
    <dataValidation type="list" allowBlank="1" showInputMessage="1" showErrorMessage="1" sqref="B81:C81">
      <formula1>INDIRECT($B$80)</formula1>
    </dataValidation>
  </dataValidations>
  <printOptions horizontalCentered="1"/>
  <pageMargins left="0.7" right="0.7" top="0.5" bottom="0.5" header="0.3" footer="0.3"/>
  <pageSetup scale="57" fitToHeight="0" orientation="portrait" r:id="rId1"/>
  <headerFooter>
    <oddFooter>&amp;C&amp;G</oddFooter>
    <firstHeader>&amp;C&amp;G</firstHeader>
    <firstFooter>&amp;C&amp;G</firstFooter>
  </headerFooter>
  <rowBreaks count="2" manualBreakCount="2">
    <brk id="76" min="1" max="12" man="1"/>
    <brk id="123" min="1" max="12" man="1"/>
  </rowBreaks>
  <drawing r:id="rId2"/>
  <legacyDrawing r:id="rId3"/>
  <legacyDrawingHF r:id="rId4"/>
  <extLst>
    <ext xmlns:x14="http://schemas.microsoft.com/office/spreadsheetml/2009/9/main" uri="{CCE6A557-97BC-4b89-ADB6-D9C93CAAB3DF}">
      <x14:dataValidations xmlns:xm="http://schemas.microsoft.com/office/excel/2006/main" disablePrompts="1" count="6">
        <x14:dataValidation type="list" allowBlank="1" showInputMessage="1" showErrorMessage="1">
          <x14:formula1>
            <xm:f>LookUp!$E$10:$E$11</xm:f>
          </x14:formula1>
          <xm:sqref>L24</xm:sqref>
        </x14:dataValidation>
        <x14:dataValidation type="list" allowBlank="1" showInputMessage="1" showErrorMessage="1">
          <x14:formula1>
            <xm:f>LookUp!$E$2:$E$3</xm:f>
          </x14:formula1>
          <xm:sqref>B82:C82</xm:sqref>
        </x14:dataValidation>
        <x14:dataValidation type="list" allowBlank="1" showInputMessage="1" showErrorMessage="1">
          <x14:formula1>
            <xm:f>LookUp!$H$2:$H$7</xm:f>
          </x14:formula1>
          <xm:sqref>H83</xm:sqref>
        </x14:dataValidation>
        <x14:dataValidation type="list" allowBlank="1" showInputMessage="1" showErrorMessage="1">
          <x14:formula1>
            <xm:f>LookUp!$G$2:$G$5</xm:f>
          </x14:formula1>
          <xm:sqref>K82</xm:sqref>
        </x14:dataValidation>
        <x14:dataValidation type="list" allowBlank="1" showInputMessage="1" showErrorMessage="1">
          <x14:formula1>
            <xm:f>LookUp!$F$2:$F$3</xm:f>
          </x14:formula1>
          <xm:sqref>K79</xm:sqref>
        </x14:dataValidation>
        <x14:dataValidation type="list" allowBlank="1" showInputMessage="1" showErrorMessage="1">
          <x14:formula1>
            <xm:f>LookUp!$A$2:$A$4</xm:f>
          </x14:formula1>
          <xm:sqref>B80:C80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AA194"/>
  <sheetViews>
    <sheetView showGridLines="0" showRowColHeaders="0" zoomScaleNormal="100" workbookViewId="0">
      <selection activeCell="E27" sqref="E27"/>
    </sheetView>
  </sheetViews>
  <sheetFormatPr defaultRowHeight="15" x14ac:dyDescent="0.25"/>
  <cols>
    <col min="1" max="1" width="3.140625" customWidth="1"/>
    <col min="2" max="2" width="13.7109375" customWidth="1"/>
    <col min="3" max="10" width="11.7109375" customWidth="1"/>
    <col min="11" max="11" width="13.7109375" customWidth="1"/>
    <col min="12" max="12" width="17.7109375" customWidth="1"/>
    <col min="13" max="13" width="19.28515625" customWidth="1"/>
    <col min="14" max="14" width="169.42578125" customWidth="1"/>
    <col min="15" max="15" width="3.7109375" customWidth="1"/>
    <col min="16" max="16" width="6" bestFit="1" customWidth="1"/>
    <col min="17" max="17" width="5.7109375" bestFit="1" customWidth="1"/>
    <col min="18" max="19" width="5" bestFit="1" customWidth="1"/>
    <col min="20" max="20" width="4.7109375" bestFit="1" customWidth="1"/>
  </cols>
  <sheetData>
    <row r="1" spans="1:27" x14ac:dyDescent="0.25">
      <c r="A1" s="236"/>
      <c r="B1" s="236"/>
      <c r="C1" s="236"/>
      <c r="D1" s="236"/>
      <c r="E1" s="236"/>
      <c r="F1" s="236"/>
      <c r="G1" s="236"/>
      <c r="H1" s="236"/>
      <c r="I1" s="236"/>
      <c r="J1" s="236"/>
      <c r="K1" s="236"/>
      <c r="L1" s="236"/>
      <c r="M1" s="236"/>
      <c r="N1" s="236"/>
    </row>
    <row r="2" spans="1:27" ht="111.75" customHeight="1" x14ac:dyDescent="0.25">
      <c r="A2" s="236"/>
      <c r="B2" s="249"/>
      <c r="C2" s="249"/>
      <c r="D2" s="249"/>
      <c r="E2" s="249"/>
      <c r="F2" s="249"/>
      <c r="G2" s="249"/>
      <c r="H2" s="249"/>
      <c r="I2" s="249"/>
      <c r="J2" s="249"/>
      <c r="K2" s="249"/>
      <c r="L2" s="249"/>
      <c r="M2" s="249"/>
      <c r="N2" s="236"/>
    </row>
    <row r="3" spans="1:27" ht="15" customHeight="1" thickBot="1" x14ac:dyDescent="0.3">
      <c r="A3" s="236"/>
      <c r="B3" s="52" t="s">
        <v>60</v>
      </c>
      <c r="C3" s="52"/>
      <c r="D3" s="52"/>
      <c r="E3" s="8"/>
      <c r="F3" s="8"/>
      <c r="G3" s="8"/>
      <c r="H3" s="8"/>
      <c r="I3" s="8"/>
      <c r="J3" s="8"/>
      <c r="K3" s="8"/>
      <c r="L3" s="8"/>
      <c r="M3" s="8"/>
      <c r="N3" s="236"/>
    </row>
    <row r="4" spans="1:27" ht="15" customHeight="1" x14ac:dyDescent="0.25">
      <c r="A4" s="236"/>
      <c r="B4" s="46" t="s">
        <v>62</v>
      </c>
      <c r="C4" s="293"/>
      <c r="D4" s="293"/>
      <c r="E4" s="293"/>
      <c r="F4" s="293"/>
      <c r="G4" s="293"/>
      <c r="H4" s="293"/>
      <c r="I4" s="293"/>
      <c r="J4" s="293"/>
      <c r="K4" s="93" t="s">
        <v>59</v>
      </c>
      <c r="L4" s="293"/>
      <c r="M4" s="293"/>
      <c r="N4" s="236"/>
      <c r="W4" s="24"/>
      <c r="X4" s="24"/>
      <c r="Y4" s="24"/>
      <c r="Z4" s="24"/>
      <c r="AA4" s="24"/>
    </row>
    <row r="5" spans="1:27" ht="15" customHeight="1" x14ac:dyDescent="0.25">
      <c r="A5" s="236"/>
      <c r="B5" s="45" t="s">
        <v>58</v>
      </c>
      <c r="C5" s="280"/>
      <c r="D5" s="280"/>
      <c r="E5" s="280"/>
      <c r="F5" s="280"/>
      <c r="G5" s="280"/>
      <c r="H5" s="280"/>
      <c r="I5" s="280"/>
      <c r="J5" s="280"/>
      <c r="K5" s="280"/>
      <c r="L5" s="280"/>
      <c r="M5" s="168"/>
      <c r="N5" s="236"/>
      <c r="U5" s="24"/>
      <c r="V5" s="24"/>
      <c r="W5" s="24"/>
      <c r="X5" s="24"/>
      <c r="Y5" s="24"/>
      <c r="Z5" s="24"/>
      <c r="AA5" s="24"/>
    </row>
    <row r="6" spans="1:27" ht="15" customHeight="1" x14ac:dyDescent="0.25">
      <c r="A6" s="236"/>
      <c r="B6" s="45" t="s">
        <v>56</v>
      </c>
      <c r="C6" s="289"/>
      <c r="D6" s="289"/>
      <c r="E6" s="289"/>
      <c r="F6" s="289"/>
      <c r="G6" s="289"/>
      <c r="H6" s="289"/>
      <c r="I6" s="289"/>
      <c r="J6" s="289"/>
      <c r="K6" s="289"/>
      <c r="L6" s="289"/>
      <c r="M6" s="168"/>
      <c r="N6" s="236"/>
      <c r="U6" s="24"/>
      <c r="V6" s="24"/>
      <c r="W6" s="24"/>
      <c r="X6" s="24"/>
      <c r="Y6" s="24"/>
      <c r="Z6" s="24"/>
      <c r="AA6" s="24"/>
    </row>
    <row r="7" spans="1:27" ht="15" customHeight="1" x14ac:dyDescent="0.25">
      <c r="A7" s="236"/>
      <c r="B7" s="45" t="s">
        <v>57</v>
      </c>
      <c r="C7" s="281"/>
      <c r="D7" s="281"/>
      <c r="E7" s="281"/>
      <c r="F7" s="281"/>
      <c r="G7" s="281"/>
      <c r="H7" s="281"/>
      <c r="I7" s="281"/>
      <c r="J7" s="281"/>
      <c r="K7" s="281"/>
      <c r="L7" s="281"/>
      <c r="M7" s="168"/>
      <c r="N7" s="236"/>
      <c r="U7" s="24"/>
      <c r="V7" s="24"/>
      <c r="W7" s="24"/>
      <c r="X7" s="24"/>
      <c r="Y7" s="24"/>
      <c r="Z7" s="24"/>
      <c r="AA7" s="24"/>
    </row>
    <row r="8" spans="1:27" ht="15" customHeight="1" x14ac:dyDescent="0.25">
      <c r="A8" s="236"/>
      <c r="B8" s="45" t="s">
        <v>61</v>
      </c>
      <c r="C8" s="281"/>
      <c r="D8" s="281"/>
      <c r="E8" s="281"/>
      <c r="F8" s="281"/>
      <c r="G8" s="281"/>
      <c r="H8" s="281"/>
      <c r="I8" s="281"/>
      <c r="J8" s="281"/>
      <c r="K8" s="281"/>
      <c r="L8" s="281"/>
      <c r="M8" s="168"/>
      <c r="N8" s="236"/>
      <c r="U8" s="24"/>
      <c r="V8" s="24"/>
      <c r="W8" s="24"/>
      <c r="X8" s="24"/>
      <c r="Y8" s="24"/>
      <c r="Z8" s="24"/>
      <c r="AA8" s="24"/>
    </row>
    <row r="9" spans="1:27" ht="15" customHeight="1" x14ac:dyDescent="0.25">
      <c r="A9" s="236"/>
      <c r="B9" s="166"/>
      <c r="C9" s="167"/>
      <c r="D9" s="167"/>
      <c r="E9" s="167"/>
      <c r="F9" s="167"/>
      <c r="G9" s="167"/>
      <c r="H9" s="3"/>
      <c r="J9" s="3"/>
      <c r="K9" s="3"/>
      <c r="N9" s="236"/>
      <c r="U9" s="24"/>
      <c r="V9" s="24"/>
      <c r="W9" s="24"/>
      <c r="X9" s="24"/>
      <c r="Y9" s="24"/>
      <c r="Z9" s="24"/>
      <c r="AA9" s="24"/>
    </row>
    <row r="10" spans="1:27" ht="15" customHeight="1" x14ac:dyDescent="0.25">
      <c r="A10" s="236"/>
      <c r="G10" s="167"/>
      <c r="H10" s="3"/>
      <c r="J10" s="3"/>
      <c r="K10" s="3"/>
      <c r="N10" s="236"/>
      <c r="U10" s="24"/>
      <c r="V10" s="24"/>
      <c r="W10" s="24"/>
      <c r="X10" s="24"/>
      <c r="Y10" s="24"/>
      <c r="Z10" s="24"/>
      <c r="AA10" s="24"/>
    </row>
    <row r="11" spans="1:27" ht="15" customHeight="1" x14ac:dyDescent="0.25">
      <c r="A11" s="236"/>
      <c r="G11" s="167"/>
      <c r="H11" s="3"/>
      <c r="J11" s="3"/>
      <c r="K11" s="3"/>
      <c r="N11" s="236"/>
      <c r="U11" s="24"/>
      <c r="V11" s="24"/>
      <c r="W11" s="24"/>
      <c r="X11" s="24"/>
      <c r="Y11" s="24"/>
      <c r="Z11" s="24"/>
      <c r="AA11" s="24"/>
    </row>
    <row r="12" spans="1:27" ht="15" customHeight="1" x14ac:dyDescent="0.25">
      <c r="A12" s="236"/>
      <c r="G12" s="167"/>
      <c r="H12" s="3"/>
      <c r="J12" s="3"/>
      <c r="K12" s="3"/>
      <c r="N12" s="236"/>
      <c r="U12" s="24"/>
      <c r="V12" s="24"/>
      <c r="W12" s="24"/>
      <c r="X12" s="24"/>
      <c r="Y12" s="24"/>
      <c r="Z12" s="24"/>
      <c r="AA12" s="24"/>
    </row>
    <row r="13" spans="1:27" ht="15" customHeight="1" x14ac:dyDescent="0.25">
      <c r="A13" s="236"/>
      <c r="G13" s="167"/>
      <c r="H13" s="3"/>
      <c r="J13" s="3"/>
      <c r="K13" s="3"/>
      <c r="N13" s="236"/>
      <c r="U13" s="24"/>
      <c r="V13" s="24"/>
      <c r="W13" s="24"/>
      <c r="X13" s="24"/>
      <c r="Y13" s="24"/>
      <c r="Z13" s="24"/>
      <c r="AA13" s="24"/>
    </row>
    <row r="14" spans="1:27" ht="15" customHeight="1" x14ac:dyDescent="0.25">
      <c r="A14" s="236"/>
      <c r="G14" s="167"/>
      <c r="H14" s="3"/>
      <c r="J14" s="3"/>
      <c r="K14" s="3"/>
      <c r="N14" s="236"/>
      <c r="U14" s="24"/>
      <c r="V14" s="24"/>
      <c r="W14" s="24"/>
      <c r="X14" s="24"/>
      <c r="Y14" s="24"/>
      <c r="Z14" s="24"/>
      <c r="AA14" s="24"/>
    </row>
    <row r="15" spans="1:27" ht="15" customHeight="1" x14ac:dyDescent="0.25">
      <c r="A15" s="236"/>
      <c r="N15" s="236"/>
      <c r="U15" s="24"/>
      <c r="V15" s="24"/>
      <c r="W15" s="24"/>
      <c r="X15" s="24"/>
      <c r="Y15" s="24"/>
      <c r="Z15" s="24"/>
      <c r="AA15" s="24"/>
    </row>
    <row r="16" spans="1:27" ht="15" customHeight="1" x14ac:dyDescent="0.25">
      <c r="A16" s="236"/>
      <c r="B16" s="155"/>
      <c r="C16" s="139"/>
      <c r="D16" s="160"/>
      <c r="E16" s="84"/>
      <c r="F16" s="98"/>
      <c r="N16" s="236"/>
      <c r="U16" s="24"/>
      <c r="V16" s="24"/>
      <c r="W16" s="24"/>
      <c r="X16" s="24"/>
      <c r="Y16" s="24"/>
      <c r="Z16" s="24"/>
      <c r="AA16" s="24"/>
    </row>
    <row r="17" spans="1:27" ht="15" customHeight="1" x14ac:dyDescent="0.25">
      <c r="A17" s="236"/>
      <c r="B17" s="155"/>
      <c r="C17" s="139"/>
      <c r="D17" s="160"/>
      <c r="E17" s="84"/>
      <c r="F17" s="98"/>
      <c r="N17" s="236"/>
      <c r="U17" s="24"/>
      <c r="V17" s="24"/>
      <c r="W17" s="24"/>
      <c r="X17" s="24"/>
      <c r="Y17" s="24"/>
      <c r="Z17" s="24"/>
      <c r="AA17" s="24"/>
    </row>
    <row r="18" spans="1:27" ht="15" customHeight="1" x14ac:dyDescent="0.25">
      <c r="A18" s="236"/>
      <c r="B18" s="155"/>
      <c r="C18" s="139"/>
      <c r="D18" s="160"/>
      <c r="E18" s="84"/>
      <c r="F18" s="98"/>
      <c r="N18" s="236"/>
      <c r="U18" s="24"/>
      <c r="V18" s="24"/>
      <c r="W18" s="24"/>
      <c r="X18" s="24"/>
      <c r="Y18" s="24"/>
      <c r="Z18" s="24"/>
      <c r="AA18" s="24"/>
    </row>
    <row r="19" spans="1:27" ht="15" customHeight="1" x14ac:dyDescent="0.25">
      <c r="A19" s="236"/>
      <c r="B19" s="155"/>
      <c r="C19" s="139"/>
      <c r="D19" s="160"/>
      <c r="E19" s="84"/>
      <c r="F19" s="98"/>
      <c r="N19" s="236"/>
      <c r="U19" s="24"/>
      <c r="V19" s="24"/>
      <c r="W19" s="24"/>
      <c r="X19" s="24"/>
      <c r="Y19" s="24"/>
      <c r="Z19" s="24"/>
      <c r="AA19" s="24"/>
    </row>
    <row r="20" spans="1:27" ht="15" customHeight="1" x14ac:dyDescent="0.25">
      <c r="A20" s="236"/>
      <c r="B20" s="155"/>
      <c r="C20" s="139"/>
      <c r="D20" s="160"/>
      <c r="E20" s="84"/>
      <c r="F20" s="98"/>
      <c r="N20" s="236"/>
      <c r="U20" s="24"/>
      <c r="V20" s="24"/>
      <c r="W20" s="24"/>
      <c r="X20" s="24"/>
      <c r="Y20" s="24"/>
      <c r="Z20" s="24"/>
      <c r="AA20" s="24"/>
    </row>
    <row r="21" spans="1:27" ht="15" customHeight="1" x14ac:dyDescent="0.25">
      <c r="A21" s="236"/>
      <c r="B21" s="155"/>
      <c r="C21" s="139"/>
      <c r="D21" s="160"/>
      <c r="E21" s="84"/>
      <c r="F21" s="98"/>
      <c r="N21" s="236"/>
      <c r="U21" s="24"/>
      <c r="V21" s="24"/>
      <c r="W21" s="24"/>
      <c r="X21" s="24"/>
      <c r="Y21" s="24"/>
      <c r="Z21" s="24"/>
      <c r="AA21" s="24"/>
    </row>
    <row r="22" spans="1:27" ht="15" customHeight="1" x14ac:dyDescent="0.25">
      <c r="A22" s="236"/>
      <c r="B22" s="155"/>
      <c r="C22" s="139"/>
      <c r="D22" s="160"/>
      <c r="E22" s="84"/>
      <c r="F22" s="98"/>
      <c r="N22" s="236"/>
      <c r="U22" s="24"/>
      <c r="V22" s="24"/>
      <c r="W22" s="24"/>
      <c r="X22" s="24"/>
      <c r="Y22" s="24"/>
      <c r="Z22" s="24"/>
      <c r="AA22" s="24"/>
    </row>
    <row r="23" spans="1:27" ht="15" customHeight="1" thickBot="1" x14ac:dyDescent="0.3">
      <c r="A23" s="236"/>
      <c r="B23" s="239" t="s">
        <v>423</v>
      </c>
      <c r="C23" s="239"/>
      <c r="D23" s="239"/>
      <c r="E23" s="239"/>
      <c r="F23" s="239"/>
      <c r="G23" s="239"/>
      <c r="H23" s="239"/>
      <c r="I23" s="239"/>
      <c r="J23" s="239"/>
      <c r="K23" s="239"/>
      <c r="L23" s="239"/>
      <c r="M23" s="239"/>
      <c r="N23" s="236"/>
      <c r="U23" s="24"/>
      <c r="V23" s="24"/>
      <c r="W23" s="24"/>
      <c r="X23" s="24"/>
      <c r="Y23" s="24"/>
      <c r="Z23" s="24"/>
      <c r="AA23" s="24"/>
    </row>
    <row r="24" spans="1:27" ht="15" customHeight="1" thickBot="1" x14ac:dyDescent="0.3">
      <c r="A24" s="236"/>
      <c r="B24" s="155"/>
      <c r="C24" s="139"/>
      <c r="D24" s="27" t="s">
        <v>64</v>
      </c>
      <c r="E24" s="195"/>
      <c r="F24" s="81"/>
      <c r="G24" s="101" t="s">
        <v>108</v>
      </c>
      <c r="I24" s="283" t="s">
        <v>427</v>
      </c>
      <c r="J24" s="283"/>
      <c r="K24" s="217" t="s">
        <v>431</v>
      </c>
      <c r="L24" s="291"/>
      <c r="M24" s="292"/>
      <c r="N24" s="236"/>
      <c r="U24" s="24"/>
      <c r="V24" s="24"/>
      <c r="W24" s="24"/>
      <c r="X24" s="24"/>
      <c r="Y24" s="24"/>
      <c r="Z24" s="24"/>
      <c r="AA24" s="24"/>
    </row>
    <row r="25" spans="1:27" ht="15" customHeight="1" thickTop="1" x14ac:dyDescent="0.25">
      <c r="A25" s="236"/>
      <c r="B25" s="155"/>
      <c r="C25" s="139"/>
      <c r="D25" s="92" t="s">
        <v>65</v>
      </c>
      <c r="E25" s="196"/>
      <c r="F25" s="27" t="s">
        <v>117</v>
      </c>
      <c r="G25" s="197"/>
      <c r="I25" s="284" t="s">
        <v>360</v>
      </c>
      <c r="J25" s="285"/>
      <c r="K25" s="214" t="s">
        <v>365</v>
      </c>
      <c r="N25" s="236"/>
      <c r="U25" s="24"/>
      <c r="V25" s="24"/>
      <c r="W25" s="24"/>
      <c r="X25" s="24"/>
      <c r="Y25" s="24"/>
      <c r="Z25" s="24"/>
      <c r="AA25" s="24"/>
    </row>
    <row r="26" spans="1:27" ht="15" customHeight="1" x14ac:dyDescent="0.25">
      <c r="A26" s="236"/>
      <c r="B26" s="155"/>
      <c r="C26" s="139"/>
      <c r="D26" s="92" t="s">
        <v>67</v>
      </c>
      <c r="E26" s="197"/>
      <c r="F26" s="27" t="s">
        <v>118</v>
      </c>
      <c r="G26" s="198"/>
      <c r="I26" s="212" t="s">
        <v>361</v>
      </c>
      <c r="J26" s="176" t="str">
        <f>IFERROR(G26/E25,"")</f>
        <v/>
      </c>
      <c r="K26" s="216" t="str">
        <f>IF(J26&lt;=2,"N/A",IF(AND(J26&lt;=3.504,J26&gt;2),IF($K$24="2bs/h",(2*E25)/G26,1.25-(0.125*J26)),""))</f>
        <v/>
      </c>
      <c r="N26" s="236"/>
      <c r="U26" s="24"/>
      <c r="V26" s="24"/>
      <c r="W26" s="24"/>
      <c r="X26" s="24"/>
      <c r="Y26" s="24"/>
      <c r="Z26" s="24"/>
      <c r="AA26" s="24"/>
    </row>
    <row r="27" spans="1:27" ht="15" customHeight="1" x14ac:dyDescent="0.35">
      <c r="A27" s="236"/>
      <c r="D27" s="27" t="s">
        <v>63</v>
      </c>
      <c r="E27" s="84" t="str">
        <f>IF(G25="","",SUM(G25:G27))</f>
        <v/>
      </c>
      <c r="F27" s="27" t="s">
        <v>127</v>
      </c>
      <c r="G27" s="198"/>
      <c r="I27" s="212" t="s">
        <v>362</v>
      </c>
      <c r="J27" s="176" t="str">
        <f>IFERROR(G26/E26,"")</f>
        <v/>
      </c>
      <c r="K27" s="216" t="str">
        <f>IF(J27&lt;=2,"N/A",IF(AND(J27&lt;=3.504,J27&gt;2),IF($K$24="2bs/h",(2*E26)/G26,1.25-(0.125*J27)),""))</f>
        <v/>
      </c>
      <c r="L27" s="53"/>
      <c r="M27" s="53"/>
      <c r="N27" s="236"/>
      <c r="U27" s="75"/>
      <c r="V27" s="76"/>
      <c r="W27" s="24"/>
      <c r="X27" s="24"/>
      <c r="Y27" s="75"/>
      <c r="Z27" s="76"/>
      <c r="AA27" s="24"/>
    </row>
    <row r="28" spans="1:27" ht="15" customHeight="1" x14ac:dyDescent="0.35">
      <c r="A28" s="236"/>
      <c r="D28" s="92" t="s">
        <v>78</v>
      </c>
      <c r="E28" s="139" t="str">
        <f>IF(E25="","",E25+E26+G28)</f>
        <v/>
      </c>
      <c r="F28" s="99" t="s">
        <v>66</v>
      </c>
      <c r="G28" s="198"/>
      <c r="I28" s="290" t="str">
        <f>IF(MAX(J26:J27)&gt;3.5,"No Good. Aspect Ratios &gt; 3.5","")</f>
        <v/>
      </c>
      <c r="J28" s="290"/>
      <c r="K28" s="290"/>
      <c r="M28" s="74"/>
      <c r="N28" s="236"/>
      <c r="U28" s="75"/>
      <c r="V28" s="77"/>
      <c r="W28" s="24"/>
      <c r="X28" s="24"/>
      <c r="Y28" s="75"/>
      <c r="Z28" s="77"/>
      <c r="AA28" s="24"/>
    </row>
    <row r="29" spans="1:27" ht="15" customHeight="1" x14ac:dyDescent="0.25">
      <c r="A29" s="236"/>
      <c r="N29" s="236"/>
      <c r="U29" s="24"/>
      <c r="V29" s="24"/>
      <c r="W29" s="24"/>
    </row>
    <row r="30" spans="1:27" ht="15" customHeight="1" x14ac:dyDescent="0.35">
      <c r="A30" s="236"/>
      <c r="C30" s="78" t="s">
        <v>356</v>
      </c>
      <c r="D30" s="78"/>
      <c r="E30" s="78"/>
      <c r="F30" s="78"/>
      <c r="G30" s="127" t="str">
        <f>IFERROR(E24*E27/E28,"")</f>
        <v/>
      </c>
      <c r="H30" s="43"/>
      <c r="I30" s="89" t="s">
        <v>1</v>
      </c>
      <c r="J30" s="5"/>
      <c r="K30" s="5"/>
      <c r="L30" s="5"/>
      <c r="N30" s="236"/>
      <c r="U30" s="24"/>
      <c r="V30" s="24"/>
      <c r="W30" s="24"/>
    </row>
    <row r="31" spans="1:27" ht="15" customHeight="1" x14ac:dyDescent="0.25">
      <c r="A31" s="236"/>
      <c r="I31" s="278" t="s">
        <v>91</v>
      </c>
      <c r="J31" s="278"/>
      <c r="K31" s="278"/>
      <c r="L31" s="86" t="str">
        <f>IFERROR((E24/E28)*(E25+G43)/E25,"")</f>
        <v/>
      </c>
      <c r="N31" s="236"/>
      <c r="U31" s="24"/>
      <c r="V31" s="24"/>
      <c r="W31" s="24"/>
    </row>
    <row r="32" spans="1:27" ht="15" customHeight="1" x14ac:dyDescent="0.25">
      <c r="A32" s="236"/>
      <c r="C32" s="46" t="s">
        <v>4</v>
      </c>
      <c r="D32" s="46"/>
      <c r="E32" s="46"/>
      <c r="F32" s="46"/>
      <c r="G32" s="88"/>
      <c r="I32" s="275" t="s">
        <v>170</v>
      </c>
      <c r="J32" s="275"/>
      <c r="K32" s="275"/>
      <c r="L32" s="86" t="str">
        <f>IFERROR(((E24/E28)*(E26+G44))/E26,"")</f>
        <v/>
      </c>
      <c r="N32" s="236"/>
      <c r="U32" s="24"/>
      <c r="V32" s="24"/>
      <c r="W32" s="24"/>
    </row>
    <row r="33" spans="1:23" ht="15" customHeight="1" x14ac:dyDescent="0.25">
      <c r="A33" s="236"/>
      <c r="C33" s="278" t="s">
        <v>131</v>
      </c>
      <c r="D33" s="278"/>
      <c r="E33" s="278"/>
      <c r="F33" s="278"/>
      <c r="G33" s="87" t="str">
        <f>IF(E24=0,"",IF(OR(G25=0,G27=0),"N/A",G30/(G25+G27)))</f>
        <v/>
      </c>
      <c r="I33" s="275" t="s">
        <v>169</v>
      </c>
      <c r="J33" s="275"/>
      <c r="K33" s="275"/>
      <c r="L33" s="127" t="str">
        <f>IFERROR(L31*$E$25+L32*$E$26,"")</f>
        <v/>
      </c>
      <c r="M33" s="73" t="str">
        <f>IF(E24=0,"",IF(L33=E24,"OK","NO GOOD"))</f>
        <v/>
      </c>
      <c r="N33" s="236"/>
      <c r="U33" s="24"/>
      <c r="V33" s="24"/>
      <c r="W33" s="24"/>
    </row>
    <row r="34" spans="1:23" ht="15" customHeight="1" x14ac:dyDescent="0.25">
      <c r="A34" s="236"/>
      <c r="C34" s="275"/>
      <c r="D34" s="275"/>
      <c r="E34" s="275"/>
      <c r="F34" s="275"/>
      <c r="G34" s="87"/>
      <c r="I34" s="275"/>
      <c r="J34" s="275"/>
      <c r="K34" s="275"/>
      <c r="L34" s="87"/>
      <c r="N34" s="236"/>
      <c r="U34" s="24"/>
      <c r="V34" s="24"/>
      <c r="W34" s="24"/>
    </row>
    <row r="35" spans="1:23" ht="15" customHeight="1" x14ac:dyDescent="0.25">
      <c r="A35" s="236"/>
      <c r="C35" s="46" t="s">
        <v>0</v>
      </c>
      <c r="D35" s="46"/>
      <c r="E35" s="46"/>
      <c r="F35" s="46"/>
      <c r="G35" s="5"/>
      <c r="H35" s="74"/>
      <c r="I35" s="89" t="s">
        <v>2</v>
      </c>
      <c r="J35" s="5"/>
      <c r="K35" s="5"/>
      <c r="L35" s="5"/>
      <c r="N35" s="236"/>
      <c r="U35" s="24"/>
      <c r="V35" s="24"/>
      <c r="W35" s="24"/>
    </row>
    <row r="36" spans="1:23" ht="15" customHeight="1" x14ac:dyDescent="0.25">
      <c r="A36" s="236"/>
      <c r="F36" s="92" t="s">
        <v>105</v>
      </c>
      <c r="G36" s="127" t="str">
        <f>IFERROR(G33*G28,"")</f>
        <v/>
      </c>
      <c r="J36" s="92"/>
      <c r="K36" s="92" t="s">
        <v>369</v>
      </c>
      <c r="L36" s="127" t="str">
        <f>IFERROR(L31*E25,"")</f>
        <v/>
      </c>
      <c r="N36" s="236"/>
      <c r="U36" s="24"/>
      <c r="V36" s="24"/>
      <c r="W36" s="24"/>
    </row>
    <row r="37" spans="1:23" ht="15" customHeight="1" x14ac:dyDescent="0.25">
      <c r="A37" s="236"/>
      <c r="F37" s="92"/>
      <c r="G37" s="82"/>
      <c r="J37" s="92"/>
      <c r="K37" s="92" t="s">
        <v>368</v>
      </c>
      <c r="L37" s="127" t="str">
        <f>IFERROR(L32*E26,"")</f>
        <v/>
      </c>
      <c r="N37" s="236"/>
      <c r="U37" s="24"/>
      <c r="V37" s="24"/>
      <c r="W37" s="24"/>
    </row>
    <row r="38" spans="1:23" ht="15" customHeight="1" x14ac:dyDescent="0.25">
      <c r="A38" s="236"/>
      <c r="C38" s="46" t="s">
        <v>354</v>
      </c>
      <c r="D38" s="46"/>
      <c r="E38" s="46"/>
      <c r="F38" s="46"/>
      <c r="G38" s="5"/>
      <c r="H38" s="43"/>
      <c r="N38" s="236"/>
      <c r="U38" s="24"/>
      <c r="V38" s="24"/>
      <c r="W38" s="24"/>
    </row>
    <row r="39" spans="1:23" ht="15" customHeight="1" x14ac:dyDescent="0.25">
      <c r="A39" s="236"/>
      <c r="F39" s="92" t="s">
        <v>72</v>
      </c>
      <c r="G39" s="127" t="str">
        <f>IFERROR((G36*E25)/(E25+E26),"")</f>
        <v/>
      </c>
      <c r="H39" s="43"/>
      <c r="I39" s="89" t="s">
        <v>355</v>
      </c>
      <c r="J39" s="5"/>
      <c r="K39" s="5"/>
      <c r="L39" s="5"/>
      <c r="N39" s="236"/>
      <c r="U39" s="24"/>
      <c r="V39" s="24"/>
      <c r="W39" s="24"/>
    </row>
    <row r="40" spans="1:23" ht="15" customHeight="1" x14ac:dyDescent="0.25">
      <c r="A40" s="236"/>
      <c r="F40" s="92" t="s">
        <v>73</v>
      </c>
      <c r="G40" s="127" t="str">
        <f>IFERROR(G36*E26/(E25+E26),"")</f>
        <v/>
      </c>
      <c r="H40" s="43"/>
      <c r="J40" s="92"/>
      <c r="K40" s="92" t="s">
        <v>101</v>
      </c>
      <c r="L40" s="127" t="str">
        <f>IFERROR(L36-G39,"")</f>
        <v/>
      </c>
      <c r="N40" s="236"/>
      <c r="U40" s="24"/>
      <c r="V40" s="24"/>
      <c r="W40" s="24"/>
    </row>
    <row r="41" spans="1:23" ht="15" customHeight="1" x14ac:dyDescent="0.25">
      <c r="A41" s="236"/>
      <c r="K41" s="92" t="s">
        <v>143</v>
      </c>
      <c r="L41" s="127" t="str">
        <f>IFERROR(L37-G40,"")</f>
        <v/>
      </c>
      <c r="N41" s="236"/>
      <c r="U41" s="24"/>
      <c r="V41" s="24"/>
      <c r="W41" s="24"/>
    </row>
    <row r="42" spans="1:23" ht="15" customHeight="1" x14ac:dyDescent="0.25">
      <c r="A42" s="236"/>
      <c r="C42" s="46" t="s">
        <v>128</v>
      </c>
      <c r="D42" s="46"/>
      <c r="E42" s="46"/>
      <c r="F42" s="46"/>
      <c r="G42" s="5"/>
      <c r="N42" s="236"/>
      <c r="U42" s="24"/>
      <c r="V42" s="24"/>
      <c r="W42" s="24"/>
    </row>
    <row r="43" spans="1:23" ht="15" customHeight="1" x14ac:dyDescent="0.25">
      <c r="A43" s="236"/>
      <c r="F43" s="92" t="s">
        <v>95</v>
      </c>
      <c r="G43" s="85" t="str">
        <f>IFERROR(E25*G28/(E25+E26),"")</f>
        <v/>
      </c>
      <c r="H43" s="43"/>
      <c r="I43" s="89" t="s">
        <v>3</v>
      </c>
      <c r="J43" s="5"/>
      <c r="K43" s="5"/>
      <c r="L43" s="5"/>
      <c r="N43" s="236"/>
      <c r="U43" s="24"/>
      <c r="V43" s="24"/>
      <c r="W43" s="24"/>
    </row>
    <row r="44" spans="1:23" ht="15" customHeight="1" x14ac:dyDescent="0.25">
      <c r="A44" s="236"/>
      <c r="F44" s="92" t="s">
        <v>96</v>
      </c>
      <c r="G44" s="85" t="str">
        <f>IFERROR(E26*G28/(E25+E26),"")</f>
        <v/>
      </c>
      <c r="H44" s="43"/>
      <c r="J44" s="92"/>
      <c r="K44" s="92" t="s">
        <v>111</v>
      </c>
      <c r="L44" s="86" t="str">
        <f>IFERROR(L40/E25,"")</f>
        <v/>
      </c>
      <c r="N44" s="236"/>
      <c r="U44" s="24"/>
      <c r="V44" s="24"/>
      <c r="W44" s="24"/>
    </row>
    <row r="45" spans="1:23" ht="15" customHeight="1" x14ac:dyDescent="0.25">
      <c r="A45" s="236"/>
      <c r="F45" s="92"/>
      <c r="G45" s="83"/>
      <c r="H45" s="43"/>
      <c r="J45" s="92"/>
      <c r="K45" s="92" t="s">
        <v>144</v>
      </c>
      <c r="L45" s="86" t="str">
        <f>IFERROR((L37-G40)/E26,"")</f>
        <v/>
      </c>
      <c r="N45" s="236"/>
      <c r="O45" s="3"/>
      <c r="P45" s="4"/>
      <c r="Q45" s="4"/>
      <c r="R45" s="4"/>
      <c r="S45" s="4"/>
      <c r="U45" s="24"/>
      <c r="V45" s="24"/>
      <c r="W45" s="24"/>
    </row>
    <row r="46" spans="1:23" ht="15" customHeight="1" x14ac:dyDescent="0.25">
      <c r="A46" s="236"/>
      <c r="H46" s="43"/>
      <c r="J46" s="92"/>
      <c r="K46" s="92"/>
      <c r="L46" s="86"/>
      <c r="N46" s="236"/>
      <c r="O46" s="3"/>
      <c r="P46" s="4"/>
      <c r="Q46" s="4"/>
      <c r="R46" s="4"/>
      <c r="S46" s="4"/>
      <c r="U46" s="24"/>
      <c r="V46" s="24"/>
      <c r="W46" s="24"/>
    </row>
    <row r="47" spans="1:23" ht="15" customHeight="1" x14ac:dyDescent="0.25">
      <c r="A47" s="236"/>
      <c r="H47" s="43"/>
      <c r="J47" s="92"/>
      <c r="K47" s="92"/>
      <c r="L47" s="87"/>
      <c r="N47" s="236"/>
      <c r="U47" s="24"/>
      <c r="V47" s="75"/>
      <c r="W47" s="76"/>
    </row>
    <row r="48" spans="1:23" ht="15" customHeight="1" x14ac:dyDescent="0.25">
      <c r="A48" s="236"/>
      <c r="H48" s="43"/>
      <c r="N48" s="236"/>
      <c r="U48" s="24"/>
      <c r="V48" s="24"/>
      <c r="W48" s="24"/>
    </row>
    <row r="49" spans="1:23" ht="15" customHeight="1" x14ac:dyDescent="0.25">
      <c r="A49" s="236"/>
      <c r="F49" s="92"/>
      <c r="G49" s="85"/>
      <c r="N49" s="236"/>
      <c r="U49" s="24"/>
      <c r="V49" s="24"/>
      <c r="W49" s="24"/>
    </row>
    <row r="50" spans="1:23" ht="15" customHeight="1" x14ac:dyDescent="0.25">
      <c r="A50" s="236"/>
      <c r="N50" s="236"/>
      <c r="U50" s="24"/>
      <c r="V50" s="24"/>
      <c r="W50" s="24"/>
    </row>
    <row r="51" spans="1:23" ht="15" customHeight="1" x14ac:dyDescent="0.25">
      <c r="A51" s="236"/>
      <c r="H51" s="43"/>
      <c r="N51" s="236"/>
      <c r="O51" s="1"/>
      <c r="U51" s="24"/>
      <c r="V51" s="24"/>
      <c r="W51" s="24"/>
    </row>
    <row r="52" spans="1:23" ht="15" customHeight="1" x14ac:dyDescent="0.25">
      <c r="A52" s="236"/>
      <c r="H52" s="43"/>
      <c r="N52" s="236"/>
      <c r="O52" s="1"/>
      <c r="U52" s="24"/>
      <c r="V52" s="24"/>
      <c r="W52" s="24"/>
    </row>
    <row r="53" spans="1:23" ht="15" customHeight="1" x14ac:dyDescent="0.25">
      <c r="A53" s="236"/>
      <c r="H53" s="43"/>
      <c r="N53" s="236"/>
      <c r="O53" s="1"/>
      <c r="U53" s="24"/>
      <c r="V53" s="24"/>
      <c r="W53" s="24"/>
    </row>
    <row r="54" spans="1:23" ht="15" customHeight="1" x14ac:dyDescent="0.25">
      <c r="A54" s="236"/>
      <c r="F54" s="92"/>
      <c r="G54" s="85"/>
      <c r="N54" s="236"/>
      <c r="O54" s="1"/>
      <c r="U54" s="24"/>
      <c r="V54" s="24"/>
      <c r="W54" s="24"/>
    </row>
    <row r="55" spans="1:23" ht="15" customHeight="1" x14ac:dyDescent="0.25">
      <c r="A55" s="236"/>
      <c r="N55" s="236"/>
      <c r="U55" s="24"/>
      <c r="V55" s="24"/>
      <c r="W55" s="24"/>
    </row>
    <row r="56" spans="1:23" ht="15" customHeight="1" x14ac:dyDescent="0.25">
      <c r="A56" s="236"/>
      <c r="N56" s="236"/>
      <c r="U56" s="24"/>
      <c r="V56" s="24"/>
      <c r="W56" s="24"/>
    </row>
    <row r="57" spans="1:23" ht="15" customHeight="1" x14ac:dyDescent="0.25">
      <c r="A57" s="236"/>
      <c r="H57" s="43"/>
      <c r="J57" s="94"/>
      <c r="K57" s="93"/>
      <c r="L57" s="91"/>
      <c r="N57" s="236"/>
      <c r="U57" s="24"/>
      <c r="V57" s="24"/>
      <c r="W57" s="24"/>
    </row>
    <row r="58" spans="1:23" x14ac:dyDescent="0.25">
      <c r="A58" s="236"/>
      <c r="N58" s="236"/>
    </row>
    <row r="59" spans="1:23" ht="15.75" thickBot="1" x14ac:dyDescent="0.3">
      <c r="A59" s="236"/>
      <c r="B59" s="53" t="s">
        <v>159</v>
      </c>
      <c r="D59" s="53"/>
      <c r="E59" s="53"/>
      <c r="F59" s="53"/>
      <c r="G59" s="53"/>
      <c r="H59" s="53"/>
      <c r="I59" s="53"/>
      <c r="N59" s="236"/>
      <c r="S59" s="21"/>
      <c r="T59" s="21"/>
      <c r="U59" s="21"/>
      <c r="V59" s="21"/>
      <c r="W59" s="21"/>
    </row>
    <row r="60" spans="1:23" x14ac:dyDescent="0.25">
      <c r="A60" s="236"/>
      <c r="B60" s="47" t="s">
        <v>115</v>
      </c>
      <c r="C60" s="48"/>
      <c r="D60" s="48"/>
      <c r="E60" s="48"/>
      <c r="F60" s="48"/>
      <c r="G60" s="48"/>
      <c r="H60" s="48"/>
      <c r="I60" s="48"/>
      <c r="J60" s="48"/>
      <c r="K60" s="50" t="str">
        <f>IFERROR($L$44*($G$25+$G$27),"")</f>
        <v/>
      </c>
      <c r="L60" s="50" t="str">
        <f>IFERROR($L$31*($G$26),"")</f>
        <v/>
      </c>
      <c r="M60" s="128" t="str">
        <f>IFERROR(L60+K60,"")</f>
        <v/>
      </c>
      <c r="N60" s="236"/>
      <c r="S60" s="21"/>
      <c r="T60" s="21"/>
      <c r="U60" s="21"/>
      <c r="V60" s="21"/>
      <c r="W60" s="21"/>
    </row>
    <row r="61" spans="1:23" x14ac:dyDescent="0.25">
      <c r="A61" s="236"/>
      <c r="B61" s="49" t="s">
        <v>116</v>
      </c>
      <c r="C61" s="3"/>
      <c r="D61" s="3"/>
      <c r="E61" s="3"/>
      <c r="F61" s="3"/>
      <c r="G61" s="3"/>
      <c r="H61" s="3"/>
      <c r="I61" s="3"/>
      <c r="J61" s="23" t="str">
        <f>IFERROR($G$33*($G$25+$G$27),"")</f>
        <v/>
      </c>
      <c r="K61" s="23" t="str">
        <f>IFERROR($L$44*($G$25+$G$27),"")</f>
        <v/>
      </c>
      <c r="L61" s="23" t="str">
        <f>IFERROR($L$31*$G$26,"")</f>
        <v/>
      </c>
      <c r="M61" s="90" t="str">
        <f>IFERROR(J61-K61-L61,"")</f>
        <v/>
      </c>
      <c r="N61" s="236"/>
      <c r="S61" s="21"/>
      <c r="T61" s="21"/>
      <c r="U61" s="21"/>
      <c r="V61" s="21"/>
      <c r="W61" s="21"/>
    </row>
    <row r="62" spans="1:23" ht="15.75" thickBot="1" x14ac:dyDescent="0.3">
      <c r="A62" s="236"/>
      <c r="B62" s="9" t="s">
        <v>145</v>
      </c>
      <c r="C62" s="8"/>
      <c r="D62" s="8"/>
      <c r="E62" s="8"/>
      <c r="F62" s="8"/>
      <c r="G62" s="8"/>
      <c r="H62" s="8"/>
      <c r="I62" s="51"/>
      <c r="J62" s="8"/>
      <c r="K62" s="51" t="str">
        <f>IFERROR($L$45*($G$25+$G$27),"")</f>
        <v/>
      </c>
      <c r="L62" s="51" t="str">
        <f>IFERROR($L$32*($G$26),"")</f>
        <v/>
      </c>
      <c r="M62" s="129" t="str">
        <f>IFERROR(K62+L62,"")</f>
        <v/>
      </c>
      <c r="N62" s="236"/>
      <c r="S62" s="21"/>
      <c r="T62" s="21"/>
      <c r="U62" s="21"/>
      <c r="V62" s="21"/>
      <c r="W62" s="21"/>
    </row>
    <row r="63" spans="1:23" x14ac:dyDescent="0.25">
      <c r="A63" s="236"/>
      <c r="C63" s="3"/>
      <c r="D63" s="3"/>
      <c r="E63" s="3"/>
      <c r="F63" s="3"/>
      <c r="G63" s="3"/>
      <c r="H63" s="3"/>
      <c r="I63" s="23"/>
      <c r="J63" s="23"/>
      <c r="K63" s="23"/>
      <c r="L63" s="23"/>
      <c r="M63" s="23"/>
      <c r="N63" s="236"/>
      <c r="S63" s="21"/>
      <c r="T63" s="21"/>
      <c r="U63" s="21"/>
      <c r="V63" s="21"/>
      <c r="W63" s="21"/>
    </row>
    <row r="64" spans="1:23" ht="21.75" thickBot="1" x14ac:dyDescent="0.4">
      <c r="A64" s="236"/>
      <c r="B64" s="276" t="s">
        <v>137</v>
      </c>
      <c r="C64" s="276"/>
      <c r="D64" s="276"/>
      <c r="E64" s="276"/>
      <c r="F64" s="276"/>
      <c r="G64" s="276"/>
      <c r="H64" s="276"/>
      <c r="I64" s="276"/>
      <c r="J64" s="276"/>
      <c r="K64" s="276"/>
      <c r="L64" s="276"/>
      <c r="M64" s="276"/>
      <c r="N64" s="236"/>
      <c r="S64" s="21"/>
      <c r="T64" s="21"/>
      <c r="U64" s="21"/>
      <c r="V64" s="21"/>
      <c r="W64" s="21"/>
    </row>
    <row r="65" spans="1:23" x14ac:dyDescent="0.25">
      <c r="A65" s="236"/>
      <c r="B65" s="262" t="s">
        <v>164</v>
      </c>
      <c r="C65" s="262"/>
      <c r="D65" s="262"/>
      <c r="E65" s="178" t="str">
        <f>IFERROR(IF(G33="N/A","N/A",MAX(IF(K26="N/A",L31,L31*(1/K26)),IF(K27="N/A",L32,L32*(1/K27)),G33,ABS(L44),ABS(L45))),"")</f>
        <v/>
      </c>
      <c r="F65" s="262" t="s">
        <v>138</v>
      </c>
      <c r="G65" s="262"/>
      <c r="H65" s="277"/>
      <c r="I65" s="142" t="str">
        <f>IFERROR(L107,"")</f>
        <v/>
      </c>
      <c r="J65" s="282" t="s">
        <v>139</v>
      </c>
      <c r="K65" s="262"/>
      <c r="L65" s="277"/>
      <c r="M65" s="143" t="str">
        <f>IFERROR(J136,"")</f>
        <v/>
      </c>
      <c r="N65" s="236"/>
      <c r="S65" s="21"/>
      <c r="T65" s="21"/>
      <c r="U65" s="21"/>
      <c r="V65" s="21"/>
      <c r="W65" s="21"/>
    </row>
    <row r="66" spans="1:23" ht="15.75" thickBot="1" x14ac:dyDescent="0.3">
      <c r="A66" s="236"/>
      <c r="B66" s="262" t="s">
        <v>90</v>
      </c>
      <c r="C66" s="262"/>
      <c r="D66" s="262"/>
      <c r="E66" s="130" t="str">
        <f>IF(G39="","",MAX(G39:G40))</f>
        <v/>
      </c>
      <c r="F66" s="262" t="s">
        <v>140</v>
      </c>
      <c r="G66" s="262"/>
      <c r="H66" s="277"/>
      <c r="I66" s="97" t="str">
        <f>IFERROR(L108,"")</f>
        <v/>
      </c>
      <c r="J66" s="261" t="s">
        <v>141</v>
      </c>
      <c r="K66" s="261"/>
      <c r="L66" s="277"/>
      <c r="M66" s="97" t="str">
        <f>IFERROR(J137,"")</f>
        <v/>
      </c>
      <c r="N66" s="236"/>
      <c r="S66" s="21"/>
      <c r="T66" s="21"/>
      <c r="U66" s="21"/>
      <c r="V66" s="21"/>
      <c r="W66" s="21"/>
    </row>
    <row r="67" spans="1:23" x14ac:dyDescent="0.25">
      <c r="A67" s="236"/>
      <c r="B67" s="261" t="s">
        <v>421</v>
      </c>
      <c r="C67" s="261"/>
      <c r="D67" s="262"/>
      <c r="E67" s="208" t="str">
        <f>G30</f>
        <v/>
      </c>
      <c r="I67" s="115" t="s">
        <v>157</v>
      </c>
      <c r="J67" s="115"/>
      <c r="K67" s="116"/>
      <c r="L67" s="116"/>
      <c r="M67" s="117" t="s">
        <v>158</v>
      </c>
      <c r="N67" s="236"/>
    </row>
    <row r="68" spans="1:23" ht="18.75" thickBot="1" x14ac:dyDescent="0.4">
      <c r="A68" s="236"/>
      <c r="B68" s="261" t="s">
        <v>422</v>
      </c>
      <c r="C68" s="261"/>
      <c r="D68" s="261"/>
      <c r="E68" s="209" t="str">
        <f>IFERROR(E24/E28,"")</f>
        <v/>
      </c>
      <c r="G68" s="264" t="str">
        <f>IF(E65="","",IF(E65&gt;MAX(G33,L31:L32),"Req. Sheathing Capacity has been adjusted per the Aspect Ratio Factor in SDPWS 4.3.4.2",""))</f>
        <v/>
      </c>
      <c r="H68" s="264"/>
      <c r="I68" s="264"/>
      <c r="J68" s="264"/>
      <c r="K68" s="264"/>
      <c r="L68" s="264"/>
      <c r="M68" s="264"/>
      <c r="N68" s="236"/>
    </row>
    <row r="69" spans="1:23" x14ac:dyDescent="0.25">
      <c r="A69" s="236"/>
      <c r="B69" s="25"/>
      <c r="C69" s="3"/>
      <c r="D69" s="3"/>
      <c r="E69" s="3"/>
      <c r="G69" s="287" t="str">
        <f>IFERROR(IF($C$126="N/A","Sheathing and Nail Type are not a valid combination. Please review Nail Type input.",""),"")</f>
        <v/>
      </c>
      <c r="H69" s="287"/>
      <c r="I69" s="287"/>
      <c r="J69" s="287"/>
      <c r="K69" s="287"/>
      <c r="L69" s="287"/>
      <c r="M69" s="287"/>
      <c r="N69" s="236"/>
    </row>
    <row r="70" spans="1:23" x14ac:dyDescent="0.25">
      <c r="A70" s="236"/>
      <c r="B70" s="232"/>
      <c r="C70" s="3"/>
      <c r="D70" s="3"/>
      <c r="E70" s="3"/>
      <c r="F70" s="3"/>
      <c r="G70" s="288" t="str">
        <f>IFERROR(IF($C$93="N/A","Sheathing Composition is not valid. Please review Sheathing inputs.",""),"")</f>
        <v/>
      </c>
      <c r="H70" s="288"/>
      <c r="I70" s="288"/>
      <c r="J70" s="288"/>
      <c r="K70" s="288"/>
      <c r="L70" s="288"/>
      <c r="M70" s="288"/>
      <c r="N70" s="236"/>
    </row>
    <row r="71" spans="1:23" x14ac:dyDescent="0.25">
      <c r="A71" s="236"/>
      <c r="B71" s="232"/>
      <c r="C71" s="3"/>
      <c r="D71" s="3"/>
      <c r="E71" s="3"/>
      <c r="F71" s="3"/>
      <c r="G71" s="233"/>
      <c r="H71" s="233"/>
      <c r="I71" s="233"/>
      <c r="J71" s="233"/>
      <c r="K71" s="233"/>
      <c r="L71" s="233"/>
      <c r="M71" s="233"/>
      <c r="N71" s="236"/>
    </row>
    <row r="72" spans="1:23" ht="15.75" thickBot="1" x14ac:dyDescent="0.3">
      <c r="A72" s="236"/>
      <c r="B72" s="259" t="s">
        <v>424</v>
      </c>
      <c r="C72" s="259"/>
      <c r="D72" s="259"/>
      <c r="E72" s="259"/>
      <c r="F72" s="8"/>
      <c r="G72" s="8"/>
      <c r="H72" s="8"/>
      <c r="I72" s="8"/>
      <c r="J72" s="8"/>
      <c r="K72" s="8"/>
      <c r="L72" s="8"/>
      <c r="M72" s="8"/>
      <c r="N72" s="236"/>
    </row>
    <row r="73" spans="1:23" x14ac:dyDescent="0.25">
      <c r="A73" s="236"/>
      <c r="B73" s="102" t="s">
        <v>33</v>
      </c>
      <c r="C73" s="72"/>
      <c r="D73" s="3"/>
      <c r="E73" s="3"/>
      <c r="F73" s="266" t="s">
        <v>147</v>
      </c>
      <c r="G73" s="266"/>
      <c r="H73" s="266"/>
      <c r="J73" s="54" t="s">
        <v>403</v>
      </c>
      <c r="K73" s="202"/>
      <c r="L73" s="3" t="s">
        <v>81</v>
      </c>
      <c r="M73" s="3"/>
      <c r="N73" s="236"/>
    </row>
    <row r="74" spans="1:23" x14ac:dyDescent="0.25">
      <c r="A74" s="236"/>
      <c r="B74" s="267"/>
      <c r="C74" s="267"/>
      <c r="D74" s="3" t="s">
        <v>154</v>
      </c>
      <c r="E74" s="3"/>
      <c r="F74" s="54" t="s">
        <v>186</v>
      </c>
      <c r="G74" s="268"/>
      <c r="H74" s="269"/>
      <c r="M74" s="3"/>
      <c r="N74" s="236"/>
    </row>
    <row r="75" spans="1:23" x14ac:dyDescent="0.25">
      <c r="A75" s="236"/>
      <c r="B75" s="270"/>
      <c r="C75" s="270"/>
      <c r="D75" s="103" t="s">
        <v>155</v>
      </c>
      <c r="E75" s="3"/>
      <c r="F75" s="54" t="s">
        <v>28</v>
      </c>
      <c r="G75" s="199"/>
      <c r="H75" s="3" t="s">
        <v>27</v>
      </c>
      <c r="K75" s="22" t="s">
        <v>83</v>
      </c>
      <c r="L75" s="22" t="s">
        <v>84</v>
      </c>
      <c r="M75" s="17"/>
      <c r="N75" s="236"/>
    </row>
    <row r="76" spans="1:23" x14ac:dyDescent="0.25">
      <c r="A76" s="236"/>
      <c r="B76" s="271"/>
      <c r="C76" s="271"/>
      <c r="D76" s="3" t="s">
        <v>194</v>
      </c>
      <c r="E76" s="3"/>
      <c r="F76" s="54"/>
      <c r="G76" s="57" t="s">
        <v>188</v>
      </c>
      <c r="H76" s="17" t="s">
        <v>175</v>
      </c>
      <c r="J76" s="54" t="s">
        <v>43</v>
      </c>
      <c r="K76" s="200"/>
      <c r="L76" s="134" t="str">
        <f>IF(K76="","",K76)</f>
        <v/>
      </c>
      <c r="M76" s="3" t="s">
        <v>19</v>
      </c>
      <c r="N76" s="236"/>
    </row>
    <row r="77" spans="1:23" x14ac:dyDescent="0.25">
      <c r="A77" s="236"/>
      <c r="B77" s="272"/>
      <c r="C77" s="272"/>
      <c r="D77" s="3"/>
      <c r="E77" s="275" t="s">
        <v>180</v>
      </c>
      <c r="F77" s="296"/>
      <c r="G77" s="200"/>
      <c r="H77" s="200"/>
      <c r="J77" s="54" t="s">
        <v>53</v>
      </c>
      <c r="K77" s="200"/>
      <c r="L77" s="134" t="str">
        <f>IF(K77="","",K77)</f>
        <v/>
      </c>
      <c r="M77" s="3" t="s">
        <v>20</v>
      </c>
      <c r="N77" s="236"/>
    </row>
    <row r="78" spans="1:23" ht="17.25" x14ac:dyDescent="0.25">
      <c r="A78" s="236"/>
      <c r="B78" s="273"/>
      <c r="C78" s="274"/>
      <c r="D78" s="24" t="s">
        <v>343</v>
      </c>
      <c r="E78" s="3"/>
      <c r="F78" s="54" t="s">
        <v>25</v>
      </c>
      <c r="G78" s="125" t="str">
        <f>IF(H77="","",VLOOKUP(H77,Table2[],2,FALSE)*G77)</f>
        <v/>
      </c>
      <c r="H78" s="3" t="s">
        <v>191</v>
      </c>
      <c r="J78" s="54" t="s">
        <v>352</v>
      </c>
      <c r="K78" s="200"/>
      <c r="L78" s="134" t="str">
        <f>IF(K78="","",K78)</f>
        <v/>
      </c>
      <c r="M78" s="3" t="s">
        <v>19</v>
      </c>
      <c r="N78" s="236"/>
    </row>
    <row r="79" spans="1:23" ht="17.25" x14ac:dyDescent="0.25">
      <c r="A79" s="236"/>
      <c r="B79" s="273"/>
      <c r="C79" s="274"/>
      <c r="D79" s="24" t="s">
        <v>344</v>
      </c>
      <c r="E79" s="275" t="s">
        <v>185</v>
      </c>
      <c r="F79" s="297"/>
      <c r="G79" s="201"/>
      <c r="H79" t="s">
        <v>191</v>
      </c>
      <c r="N79" s="236"/>
    </row>
    <row r="80" spans="1:23" x14ac:dyDescent="0.25">
      <c r="A80" s="236"/>
      <c r="B80" s="65"/>
      <c r="C80" s="75"/>
      <c r="D80" s="24"/>
      <c r="E80" s="3"/>
      <c r="F80" s="3"/>
      <c r="G80" s="3"/>
      <c r="H80" s="17"/>
      <c r="J80" s="3"/>
      <c r="K80" s="3"/>
      <c r="N80" s="236"/>
    </row>
    <row r="81" spans="1:14" ht="15.75" thickBot="1" x14ac:dyDescent="0.3">
      <c r="A81" s="236"/>
      <c r="B81" s="259" t="s">
        <v>87</v>
      </c>
      <c r="C81" s="259"/>
      <c r="D81" s="259"/>
      <c r="E81" s="259"/>
      <c r="F81" s="259"/>
      <c r="G81" s="3"/>
      <c r="H81" s="24"/>
      <c r="J81" s="3"/>
      <c r="N81" s="236"/>
    </row>
    <row r="82" spans="1:14" x14ac:dyDescent="0.25">
      <c r="A82" s="236"/>
      <c r="C82" s="3"/>
      <c r="D82" s="3"/>
      <c r="E82" s="3"/>
      <c r="F82" s="3"/>
      <c r="G82" s="3"/>
      <c r="H82" s="3"/>
      <c r="J82" s="3"/>
      <c r="K82" s="3"/>
      <c r="N82" s="236"/>
    </row>
    <row r="83" spans="1:14" x14ac:dyDescent="0.25">
      <c r="A83" s="236"/>
      <c r="C83" s="3"/>
      <c r="D83" s="3"/>
      <c r="E83" s="3"/>
      <c r="F83" s="3"/>
      <c r="G83" s="3"/>
      <c r="H83" s="3"/>
      <c r="J83" s="3"/>
      <c r="K83" s="3"/>
      <c r="N83" s="236"/>
    </row>
    <row r="84" spans="1:14" x14ac:dyDescent="0.25">
      <c r="A84" s="236"/>
      <c r="C84" s="3"/>
      <c r="D84" s="3"/>
      <c r="E84" s="3"/>
      <c r="F84" s="3"/>
      <c r="G84" s="3"/>
      <c r="H84" s="3"/>
      <c r="I84" s="3"/>
      <c r="J84" s="3"/>
      <c r="K84" s="3"/>
      <c r="N84" s="236"/>
    </row>
    <row r="85" spans="1:14" ht="15.75" thickBot="1" x14ac:dyDescent="0.3">
      <c r="A85" s="236"/>
      <c r="C85" s="63" t="s">
        <v>37</v>
      </c>
      <c r="D85" s="64" t="s">
        <v>36</v>
      </c>
      <c r="E85" s="63" t="s">
        <v>35</v>
      </c>
      <c r="F85" s="64" t="s">
        <v>34</v>
      </c>
      <c r="G85" s="95"/>
      <c r="H85" s="95"/>
      <c r="I85" s="95"/>
      <c r="J85" s="95"/>
      <c r="K85" s="3"/>
      <c r="N85" s="236"/>
    </row>
    <row r="86" spans="1:14" ht="15.75" thickTop="1" x14ac:dyDescent="0.25">
      <c r="A86" s="236"/>
      <c r="B86" s="92" t="s">
        <v>33</v>
      </c>
      <c r="C86" s="105" t="str">
        <f>IF($B$75="","",$B$75)</f>
        <v/>
      </c>
      <c r="D86" s="106" t="str">
        <f>IF($B$75="","",$B$75)</f>
        <v/>
      </c>
      <c r="E86" s="105" t="str">
        <f>IF($B$75="","",$B$75)</f>
        <v/>
      </c>
      <c r="F86" s="106" t="str">
        <f>IF($B$75="","",$B$75)</f>
        <v/>
      </c>
      <c r="G86" s="120"/>
      <c r="H86" s="260" t="str">
        <f>IFERROR(IF($C$93="N/A","Sheathing Composition is not valid. Please review Sheathing inputs.",""),"")</f>
        <v/>
      </c>
      <c r="I86" s="260"/>
      <c r="J86" s="260"/>
      <c r="K86" s="3"/>
      <c r="N86" s="236"/>
    </row>
    <row r="87" spans="1:14" ht="15.75" thickBot="1" x14ac:dyDescent="0.3">
      <c r="A87" s="236"/>
      <c r="B87" s="92" t="s">
        <v>32</v>
      </c>
      <c r="C87" s="36">
        <f>$K$73</f>
        <v>0</v>
      </c>
      <c r="D87" s="35">
        <f>$K$73</f>
        <v>0</v>
      </c>
      <c r="E87" s="36">
        <f>$K$73</f>
        <v>0</v>
      </c>
      <c r="F87" s="35">
        <f>$K$73</f>
        <v>0</v>
      </c>
      <c r="G87" s="17"/>
      <c r="H87" s="260"/>
      <c r="I87" s="260"/>
      <c r="J87" s="260"/>
      <c r="K87" s="3"/>
      <c r="N87" s="236"/>
    </row>
    <row r="88" spans="1:14" ht="18" x14ac:dyDescent="0.35">
      <c r="A88" s="236"/>
      <c r="B88" s="92" t="s">
        <v>31</v>
      </c>
      <c r="C88" s="55" t="str">
        <f>L31</f>
        <v/>
      </c>
      <c r="D88" s="32" t="str">
        <f>C88</f>
        <v/>
      </c>
      <c r="E88" s="55" t="str">
        <f>L32</f>
        <v/>
      </c>
      <c r="F88" s="32" t="str">
        <f>E88</f>
        <v/>
      </c>
      <c r="G88" s="41" t="s">
        <v>29</v>
      </c>
      <c r="H88" s="60"/>
      <c r="J88" s="60"/>
      <c r="N88" s="236"/>
    </row>
    <row r="89" spans="1:14" ht="18" x14ac:dyDescent="0.35">
      <c r="A89" s="236"/>
      <c r="B89" s="92" t="s">
        <v>30</v>
      </c>
      <c r="C89" s="55" t="str">
        <f>IFERROR(C88/0.7,"")</f>
        <v/>
      </c>
      <c r="D89" s="32" t="str">
        <f>IFERROR(D88/0.7,"")</f>
        <v/>
      </c>
      <c r="E89" s="55" t="str">
        <f>IFERROR(E88/0.7,"")</f>
        <v/>
      </c>
      <c r="F89" s="32" t="str">
        <f>IFERROR(F88/0.7,"")</f>
        <v/>
      </c>
      <c r="G89" s="41" t="s">
        <v>29</v>
      </c>
      <c r="H89" s="132"/>
      <c r="J89" s="60"/>
      <c r="N89" s="236"/>
    </row>
    <row r="90" spans="1:14" x14ac:dyDescent="0.25">
      <c r="A90" s="236"/>
      <c r="B90" s="92" t="s">
        <v>28</v>
      </c>
      <c r="C90" s="37" t="str">
        <f>IF($G$75="","",$G$75)</f>
        <v/>
      </c>
      <c r="D90" s="29" t="str">
        <f t="shared" ref="D90:F90" si="0">IF($G$75="","",$G$75)</f>
        <v/>
      </c>
      <c r="E90" s="37" t="str">
        <f t="shared" si="0"/>
        <v/>
      </c>
      <c r="F90" s="29" t="str">
        <f t="shared" si="0"/>
        <v/>
      </c>
      <c r="G90" s="41" t="s">
        <v>27</v>
      </c>
      <c r="H90" s="57"/>
      <c r="I90" s="133"/>
      <c r="J90" s="57"/>
      <c r="L90" s="21"/>
      <c r="M90" s="21"/>
      <c r="N90" s="236"/>
    </row>
    <row r="91" spans="1:14" x14ac:dyDescent="0.25">
      <c r="A91" s="236"/>
      <c r="B91" s="92" t="s">
        <v>26</v>
      </c>
      <c r="C91" s="38" t="str">
        <f>IF(E27="","",E27)</f>
        <v/>
      </c>
      <c r="D91" s="30" t="str">
        <f>IF(E27="","",E27-G27)</f>
        <v/>
      </c>
      <c r="E91" s="38" t="str">
        <f>IF(E27="","",E27-G27)</f>
        <v/>
      </c>
      <c r="F91" s="30" t="str">
        <f>E27</f>
        <v/>
      </c>
      <c r="G91" s="41" t="s">
        <v>21</v>
      </c>
      <c r="H91" s="58"/>
      <c r="J91" s="58"/>
      <c r="L91" s="21"/>
      <c r="M91" s="21"/>
      <c r="N91" s="236"/>
    </row>
    <row r="92" spans="1:14" ht="15" customHeight="1" x14ac:dyDescent="0.25">
      <c r="A92" s="236"/>
      <c r="B92" s="92" t="s">
        <v>25</v>
      </c>
      <c r="C92" s="39" t="str">
        <f>IF($G$79="",$G$78,$G$79)</f>
        <v/>
      </c>
      <c r="D92" s="28" t="str">
        <f>$C$92</f>
        <v/>
      </c>
      <c r="E92" s="39" t="str">
        <f>$C$92</f>
        <v/>
      </c>
      <c r="F92" s="28" t="str">
        <f>$C$92</f>
        <v/>
      </c>
      <c r="G92" s="41" t="s">
        <v>191</v>
      </c>
      <c r="I92" s="135"/>
      <c r="J92" s="135"/>
      <c r="K92" s="135"/>
      <c r="M92" s="21"/>
      <c r="N92" s="236"/>
    </row>
    <row r="93" spans="1:14" x14ac:dyDescent="0.25">
      <c r="A93" s="236"/>
      <c r="B93" s="92" t="s">
        <v>45</v>
      </c>
      <c r="C93" s="40" t="str">
        <f>IF($B$78="",IF(B74="OSB",VLOOKUP(B74&amp;B75&amp;B76,Table11[],3,FALSE),IF(B74="Plywood",VLOOKUP(B74&amp;B75&amp;B76,Table11[],3,FALSE),"")),$B$78)</f>
        <v/>
      </c>
      <c r="D93" s="59" t="str">
        <f>$C$93</f>
        <v/>
      </c>
      <c r="E93" s="40" t="str">
        <f>$C$93</f>
        <v/>
      </c>
      <c r="F93" s="31" t="str">
        <f>$C$93</f>
        <v/>
      </c>
      <c r="G93" s="41" t="s">
        <v>44</v>
      </c>
      <c r="H93" s="135"/>
      <c r="I93" s="135"/>
      <c r="J93" s="135"/>
      <c r="K93" s="135"/>
      <c r="L93" s="135"/>
      <c r="M93" s="135"/>
      <c r="N93" s="236"/>
    </row>
    <row r="94" spans="1:14" x14ac:dyDescent="0.25">
      <c r="A94" s="236"/>
      <c r="B94" s="92" t="s">
        <v>43</v>
      </c>
      <c r="C94" s="39" t="str">
        <f>IF(K76="","",K76)</f>
        <v/>
      </c>
      <c r="D94" s="28" t="str">
        <f>C94</f>
        <v/>
      </c>
      <c r="E94" s="39" t="str">
        <f>L76</f>
        <v/>
      </c>
      <c r="F94" s="28" t="str">
        <f>E94</f>
        <v/>
      </c>
      <c r="G94" s="41" t="s">
        <v>19</v>
      </c>
      <c r="H94" s="135"/>
      <c r="I94" s="135"/>
      <c r="J94" s="135"/>
      <c r="K94" s="135"/>
      <c r="M94" s="21"/>
      <c r="N94" s="236"/>
    </row>
    <row r="95" spans="1:14" x14ac:dyDescent="0.25">
      <c r="A95" s="236"/>
      <c r="B95" s="92" t="s">
        <v>42</v>
      </c>
      <c r="C95" s="55" t="str">
        <f>IFERROR(C89/(12/C94),"")</f>
        <v/>
      </c>
      <c r="D95" s="32" t="str">
        <f>IFERROR(D89/(12/D94),"")</f>
        <v/>
      </c>
      <c r="E95" s="55" t="str">
        <f>IFERROR(E89/(12/E94),"")</f>
        <v/>
      </c>
      <c r="F95" s="32" t="str">
        <f>IFERROR(F89/(12/F94),"")</f>
        <v/>
      </c>
      <c r="G95" s="41" t="s">
        <v>29</v>
      </c>
      <c r="H95" s="138"/>
      <c r="J95" s="60"/>
      <c r="M95" s="21"/>
      <c r="N95" s="236"/>
    </row>
    <row r="96" spans="1:14" x14ac:dyDescent="0.25">
      <c r="A96" s="236"/>
      <c r="B96" s="92" t="s">
        <v>41</v>
      </c>
      <c r="C96" s="56" t="str">
        <f>IF(K73="","",IFERROR(IF(K73="8d common",(C95/616)^3.018,IF(K73="10d common",(C95/769)^3.276,"Fix")),""))</f>
        <v/>
      </c>
      <c r="D96" s="33" t="str">
        <f>C96</f>
        <v/>
      </c>
      <c r="E96" s="56" t="str">
        <f>IF(K73="","",IFERROR(IF(K73="8d common",(E95/616)^3.018,IF(K73="10d common",(E95/769)^3.276,"Fix")),""))</f>
        <v/>
      </c>
      <c r="F96" s="33" t="str">
        <f>E96</f>
        <v/>
      </c>
      <c r="G96" s="41" t="s">
        <v>19</v>
      </c>
      <c r="H96" s="61"/>
      <c r="J96" s="61"/>
      <c r="M96" s="21"/>
      <c r="N96" s="236"/>
    </row>
    <row r="97" spans="1:14" x14ac:dyDescent="0.25">
      <c r="A97" s="236"/>
      <c r="B97" s="92" t="s">
        <v>22</v>
      </c>
      <c r="C97" s="38" t="str">
        <f>IF(E25="","",E25)</f>
        <v/>
      </c>
      <c r="D97" s="30" t="str">
        <f>C97</f>
        <v/>
      </c>
      <c r="E97" s="38" t="str">
        <f>IF(E26="","",E26)</f>
        <v/>
      </c>
      <c r="F97" s="30" t="str">
        <f>E97</f>
        <v/>
      </c>
      <c r="G97" s="41" t="s">
        <v>21</v>
      </c>
      <c r="H97" s="58"/>
      <c r="J97" s="58"/>
      <c r="M97" s="21"/>
      <c r="N97" s="236"/>
    </row>
    <row r="98" spans="1:14" x14ac:dyDescent="0.25">
      <c r="A98" s="236"/>
      <c r="B98" s="92" t="s">
        <v>53</v>
      </c>
      <c r="C98" s="39" t="str">
        <f>IF(K77="","",K77)</f>
        <v/>
      </c>
      <c r="D98" s="28" t="str">
        <f>C98</f>
        <v/>
      </c>
      <c r="E98" s="39" t="str">
        <f>L77</f>
        <v/>
      </c>
      <c r="F98" s="28" t="str">
        <f>E98</f>
        <v/>
      </c>
      <c r="G98" s="41" t="s">
        <v>20</v>
      </c>
      <c r="H98" s="17"/>
      <c r="J98" s="17"/>
      <c r="M98" s="21"/>
      <c r="N98" s="236"/>
    </row>
    <row r="99" spans="1:14" x14ac:dyDescent="0.25">
      <c r="A99" s="236"/>
      <c r="B99" s="92" t="s">
        <v>48</v>
      </c>
      <c r="C99" s="62" t="str">
        <f>IF(K78="","",K78)</f>
        <v/>
      </c>
      <c r="D99" s="34" t="str">
        <f>C99</f>
        <v/>
      </c>
      <c r="E99" s="62" t="str">
        <f>L78</f>
        <v/>
      </c>
      <c r="F99" s="34" t="str">
        <f>E99</f>
        <v/>
      </c>
      <c r="G99" s="41" t="s">
        <v>19</v>
      </c>
      <c r="H99" s="17"/>
      <c r="J99" s="17"/>
      <c r="M99" s="21"/>
      <c r="N99" s="236"/>
    </row>
    <row r="100" spans="1:14" x14ac:dyDescent="0.25">
      <c r="A100" s="236"/>
      <c r="M100" s="21"/>
      <c r="N100" s="236"/>
    </row>
    <row r="101" spans="1:14" ht="15.75" thickBot="1" x14ac:dyDescent="0.3">
      <c r="A101" s="236"/>
      <c r="C101" s="6" t="s">
        <v>82</v>
      </c>
      <c r="M101" s="21"/>
      <c r="N101" s="236"/>
    </row>
    <row r="102" spans="1:14" x14ac:dyDescent="0.25">
      <c r="A102" s="236"/>
      <c r="C102" s="252" t="s">
        <v>18</v>
      </c>
      <c r="D102" s="253"/>
      <c r="E102" s="253"/>
      <c r="F102" s="254"/>
      <c r="G102" s="252" t="s">
        <v>17</v>
      </c>
      <c r="H102" s="253"/>
      <c r="I102" s="253"/>
      <c r="J102" s="254"/>
      <c r="N102" s="236"/>
    </row>
    <row r="103" spans="1:14" x14ac:dyDescent="0.25">
      <c r="A103" s="236"/>
      <c r="C103" s="20" t="s">
        <v>12</v>
      </c>
      <c r="D103" s="19" t="s">
        <v>11</v>
      </c>
      <c r="E103" s="19" t="s">
        <v>10</v>
      </c>
      <c r="F103" s="18" t="s">
        <v>40</v>
      </c>
      <c r="G103" s="20" t="s">
        <v>12</v>
      </c>
      <c r="H103" s="19" t="s">
        <v>11</v>
      </c>
      <c r="I103" s="19" t="s">
        <v>10</v>
      </c>
      <c r="J103" s="18" t="s">
        <v>40</v>
      </c>
      <c r="N103" s="236"/>
    </row>
    <row r="104" spans="1:14" ht="15.75" thickBot="1" x14ac:dyDescent="0.3">
      <c r="A104" s="236"/>
      <c r="C104" s="16" t="s">
        <v>8</v>
      </c>
      <c r="D104" s="15" t="s">
        <v>7</v>
      </c>
      <c r="E104" s="15" t="s">
        <v>353</v>
      </c>
      <c r="F104" s="14" t="s">
        <v>39</v>
      </c>
      <c r="G104" s="16" t="s">
        <v>8</v>
      </c>
      <c r="H104" s="15" t="s">
        <v>7</v>
      </c>
      <c r="I104" s="15" t="s">
        <v>353</v>
      </c>
      <c r="J104" s="14" t="s">
        <v>38</v>
      </c>
      <c r="N104" s="236"/>
    </row>
    <row r="105" spans="1:14" ht="15.75" thickBot="1" x14ac:dyDescent="0.3">
      <c r="A105" s="236"/>
      <c r="C105" s="13" t="str">
        <f>IFERROR(8*C89*C91^3/(C90*C92*C97),"")</f>
        <v/>
      </c>
      <c r="D105" s="12" t="str">
        <f>IFERROR(C89*C91/(C93),"")</f>
        <v/>
      </c>
      <c r="E105" s="12" t="str">
        <f>IFERROR(0.75*C91*C96,"")</f>
        <v/>
      </c>
      <c r="F105" s="11" t="str">
        <f>IFERROR(C99*C89*C91/C98*(C91/C97),"")</f>
        <v/>
      </c>
      <c r="G105" s="13" t="str">
        <f>IFERROR(8*D89*D91^3/(D90*D92*D97),"")</f>
        <v/>
      </c>
      <c r="H105" s="12" t="str">
        <f>IFERROR(D89*D91/(D93),"")</f>
        <v/>
      </c>
      <c r="I105" s="12" t="str">
        <f>IFERROR(0.75*D91*D96,"")</f>
        <v/>
      </c>
      <c r="J105" s="11" t="str">
        <f>IFERROR(D99*D89*D91/D98*(D91/D97),"")</f>
        <v/>
      </c>
      <c r="L105" s="68" t="s">
        <v>13</v>
      </c>
      <c r="N105" s="236"/>
    </row>
    <row r="106" spans="1:14" ht="15.75" thickBot="1" x14ac:dyDescent="0.3">
      <c r="A106" s="236"/>
      <c r="C106" s="9"/>
      <c r="D106" s="8"/>
      <c r="E106" s="67" t="s">
        <v>16</v>
      </c>
      <c r="F106" s="7">
        <f>SUM(C105:F105)</f>
        <v>0</v>
      </c>
      <c r="G106" s="9"/>
      <c r="H106" s="8"/>
      <c r="I106" s="67" t="s">
        <v>16</v>
      </c>
      <c r="J106" s="7">
        <f>SUM(G105:J105)</f>
        <v>0</v>
      </c>
      <c r="L106" s="69" t="s">
        <v>9</v>
      </c>
      <c r="N106" s="236"/>
    </row>
    <row r="107" spans="1:14" x14ac:dyDescent="0.25">
      <c r="A107" s="236"/>
      <c r="C107" s="252" t="s">
        <v>15</v>
      </c>
      <c r="D107" s="253"/>
      <c r="E107" s="253"/>
      <c r="F107" s="254"/>
      <c r="G107" s="252" t="s">
        <v>14</v>
      </c>
      <c r="H107" s="253"/>
      <c r="I107" s="253"/>
      <c r="J107" s="254"/>
      <c r="L107" s="70" t="str">
        <f>IF(J105="","",AVERAGE(F106,J106,F111,J111))</f>
        <v/>
      </c>
      <c r="M107" t="s">
        <v>19</v>
      </c>
      <c r="N107" s="236"/>
    </row>
    <row r="108" spans="1:14" ht="15.75" thickBot="1" x14ac:dyDescent="0.3">
      <c r="A108" s="236"/>
      <c r="C108" s="20" t="s">
        <v>12</v>
      </c>
      <c r="D108" s="19" t="s">
        <v>11</v>
      </c>
      <c r="E108" s="19" t="s">
        <v>10</v>
      </c>
      <c r="F108" s="18" t="s">
        <v>40</v>
      </c>
      <c r="G108" s="20" t="s">
        <v>12</v>
      </c>
      <c r="H108" s="19" t="s">
        <v>11</v>
      </c>
      <c r="I108" s="19" t="s">
        <v>10</v>
      </c>
      <c r="J108" s="18" t="s">
        <v>40</v>
      </c>
      <c r="L108" s="71" t="str">
        <f>IFERROR(4*L107/(C91*12),"")</f>
        <v/>
      </c>
      <c r="M108" t="s">
        <v>6</v>
      </c>
      <c r="N108" s="236"/>
    </row>
    <row r="109" spans="1:14" x14ac:dyDescent="0.25">
      <c r="A109" s="236"/>
      <c r="C109" s="16" t="s">
        <v>8</v>
      </c>
      <c r="D109" s="15" t="s">
        <v>7</v>
      </c>
      <c r="E109" s="15" t="s">
        <v>353</v>
      </c>
      <c r="F109" s="14" t="s">
        <v>39</v>
      </c>
      <c r="G109" s="16" t="s">
        <v>8</v>
      </c>
      <c r="H109" s="15" t="s">
        <v>7</v>
      </c>
      <c r="I109" s="15" t="s">
        <v>353</v>
      </c>
      <c r="J109" s="14" t="s">
        <v>38</v>
      </c>
      <c r="N109" s="236"/>
    </row>
    <row r="110" spans="1:14" ht="15.75" thickBot="1" x14ac:dyDescent="0.3">
      <c r="A110" s="236"/>
      <c r="C110" s="13" t="str">
        <f>IFERROR(8*E89*E91^3/(E90*E92*E97),"")</f>
        <v/>
      </c>
      <c r="D110" s="12" t="str">
        <f>IFERROR(E89*E91/(E93),"")</f>
        <v/>
      </c>
      <c r="E110" s="12" t="str">
        <f>IFERROR(0.75*E91*E96,"")</f>
        <v/>
      </c>
      <c r="F110" s="11" t="str">
        <f>IFERROR(E99*E89*E91/E98*(E91/E97),"")</f>
        <v/>
      </c>
      <c r="G110" s="13" t="str">
        <f>IFERROR(8*F89*F91^3/(F90*F92*F97),"")</f>
        <v/>
      </c>
      <c r="H110" s="12" t="str">
        <f>IFERROR(F89*F91/(F93),"")</f>
        <v/>
      </c>
      <c r="I110" s="12" t="str">
        <f>IFERROR(0.75*F91*F96,"")</f>
        <v/>
      </c>
      <c r="J110" s="11" t="str">
        <f>IFERROR(F99*F89*F91/F98*(F91/F97),"")</f>
        <v/>
      </c>
      <c r="N110" s="236"/>
    </row>
    <row r="111" spans="1:14" ht="15.75" thickBot="1" x14ac:dyDescent="0.3">
      <c r="A111" s="236"/>
      <c r="C111" s="9"/>
      <c r="D111" s="8"/>
      <c r="E111" s="67" t="s">
        <v>16</v>
      </c>
      <c r="F111" s="7">
        <f>SUM(C110:F110)</f>
        <v>0</v>
      </c>
      <c r="G111" s="9"/>
      <c r="H111" s="8"/>
      <c r="I111" s="67" t="s">
        <v>16</v>
      </c>
      <c r="J111" s="7">
        <f>SUM(G110:J110)</f>
        <v>0</v>
      </c>
      <c r="N111" s="236"/>
    </row>
    <row r="112" spans="1:14" x14ac:dyDescent="0.25">
      <c r="A112" s="236"/>
      <c r="C112" s="3"/>
      <c r="D112" s="3"/>
      <c r="E112" s="160"/>
      <c r="F112" s="157"/>
      <c r="G112" s="3"/>
      <c r="H112" s="3"/>
      <c r="I112" s="160"/>
      <c r="J112" s="157"/>
      <c r="N112" s="236"/>
    </row>
    <row r="113" spans="1:14" x14ac:dyDescent="0.25">
      <c r="A113" s="236"/>
      <c r="C113" s="3"/>
      <c r="D113" s="3"/>
      <c r="E113" s="27"/>
      <c r="F113" s="25"/>
      <c r="G113" s="3"/>
      <c r="H113" s="3"/>
      <c r="I113" s="27"/>
      <c r="J113" s="25"/>
      <c r="N113" s="236"/>
    </row>
    <row r="114" spans="1:14" ht="15.75" thickBot="1" x14ac:dyDescent="0.3">
      <c r="A114" s="236"/>
      <c r="B114" s="259" t="s">
        <v>88</v>
      </c>
      <c r="C114" s="259"/>
      <c r="D114" s="259"/>
      <c r="E114" s="259"/>
      <c r="F114" s="259"/>
      <c r="N114" s="236"/>
    </row>
    <row r="115" spans="1:14" x14ac:dyDescent="0.25">
      <c r="A115" s="236"/>
      <c r="N115" s="236"/>
    </row>
    <row r="116" spans="1:14" x14ac:dyDescent="0.25">
      <c r="A116" s="236"/>
      <c r="N116" s="236"/>
    </row>
    <row r="117" spans="1:14" x14ac:dyDescent="0.25">
      <c r="A117" s="236"/>
      <c r="N117" s="236"/>
    </row>
    <row r="118" spans="1:14" ht="15.75" thickBot="1" x14ac:dyDescent="0.3">
      <c r="A118" s="236"/>
      <c r="C118" s="63" t="s">
        <v>37</v>
      </c>
      <c r="D118" s="64" t="s">
        <v>36</v>
      </c>
      <c r="E118" s="63" t="s">
        <v>35</v>
      </c>
      <c r="F118" s="64" t="s">
        <v>34</v>
      </c>
      <c r="G118" s="95"/>
      <c r="H118" s="95"/>
      <c r="I118" s="95"/>
      <c r="J118" s="95"/>
      <c r="N118" s="236"/>
    </row>
    <row r="119" spans="1:14" ht="15.75" customHeight="1" thickTop="1" x14ac:dyDescent="0.25">
      <c r="A119" s="236"/>
      <c r="B119" s="92" t="s">
        <v>33</v>
      </c>
      <c r="C119" s="107" t="str">
        <f>IF($B$75="","",$B$75)</f>
        <v/>
      </c>
      <c r="D119" s="108" t="str">
        <f>IF($B$75="","",$B$75)</f>
        <v/>
      </c>
      <c r="E119" s="107" t="str">
        <f>IF($B$75="","",$B$75)</f>
        <v/>
      </c>
      <c r="F119" s="108" t="str">
        <f>IF($B$75="","",$B$75)</f>
        <v/>
      </c>
      <c r="G119" s="121"/>
      <c r="H119" s="260" t="str">
        <f>IFERROR(IF($C$126="N/A","Sheathing and Nail Type are not a valid combination. Please review Nail Type input.",""),"")</f>
        <v/>
      </c>
      <c r="I119" s="260"/>
      <c r="J119" s="260"/>
      <c r="K119" s="135"/>
      <c r="L119" s="135"/>
      <c r="M119" s="135"/>
      <c r="N119" s="236"/>
    </row>
    <row r="120" spans="1:14" ht="15.75" thickBot="1" x14ac:dyDescent="0.3">
      <c r="A120" s="236"/>
      <c r="B120" s="92" t="s">
        <v>32</v>
      </c>
      <c r="C120" s="36">
        <f>$K$73</f>
        <v>0</v>
      </c>
      <c r="D120" s="35">
        <f>$K$73</f>
        <v>0</v>
      </c>
      <c r="E120" s="36">
        <f>$K$73</f>
        <v>0</v>
      </c>
      <c r="F120" s="35">
        <f>$K$73</f>
        <v>0</v>
      </c>
      <c r="G120" s="17"/>
      <c r="H120" s="260"/>
      <c r="I120" s="260"/>
      <c r="J120" s="260"/>
      <c r="N120" s="236"/>
    </row>
    <row r="121" spans="1:14" ht="18" x14ac:dyDescent="0.35">
      <c r="A121" s="236"/>
      <c r="B121" s="92" t="s">
        <v>31</v>
      </c>
      <c r="C121" s="55" t="str">
        <f>L31</f>
        <v/>
      </c>
      <c r="D121" s="32" t="str">
        <f>C121</f>
        <v/>
      </c>
      <c r="E121" s="55" t="str">
        <f>L32</f>
        <v/>
      </c>
      <c r="F121" s="32" t="str">
        <f>E121</f>
        <v/>
      </c>
      <c r="G121" s="41" t="s">
        <v>29</v>
      </c>
      <c r="H121" s="260"/>
      <c r="I121" s="260"/>
      <c r="J121" s="260"/>
      <c r="N121" s="236"/>
    </row>
    <row r="122" spans="1:14" ht="18" x14ac:dyDescent="0.35">
      <c r="A122" s="236"/>
      <c r="B122" s="92" t="s">
        <v>30</v>
      </c>
      <c r="C122" s="55" t="str">
        <f>IFERROR(C121/0.7,"")</f>
        <v/>
      </c>
      <c r="D122" s="32" t="str">
        <f>IFERROR(D121/0.7,"")</f>
        <v/>
      </c>
      <c r="E122" s="55" t="str">
        <f>IFERROR(E121/0.7,"")</f>
        <v/>
      </c>
      <c r="F122" s="32" t="str">
        <f>IFERROR(F121/0.7,"")</f>
        <v/>
      </c>
      <c r="G122" s="41" t="s">
        <v>29</v>
      </c>
      <c r="H122" s="60"/>
      <c r="J122" s="60"/>
      <c r="N122" s="236"/>
    </row>
    <row r="123" spans="1:14" x14ac:dyDescent="0.25">
      <c r="A123" s="236"/>
      <c r="B123" s="92" t="s">
        <v>28</v>
      </c>
      <c r="C123" s="37" t="str">
        <f>IF($G$75="","",$G$75)</f>
        <v/>
      </c>
      <c r="D123" s="29" t="str">
        <f t="shared" ref="D123:F123" si="1">IF($G$75="","",$G$75)</f>
        <v/>
      </c>
      <c r="E123" s="37" t="str">
        <f t="shared" si="1"/>
        <v/>
      </c>
      <c r="F123" s="29" t="str">
        <f t="shared" si="1"/>
        <v/>
      </c>
      <c r="G123" s="41" t="s">
        <v>27</v>
      </c>
      <c r="H123" s="57"/>
      <c r="J123" s="57"/>
      <c r="N123" s="236"/>
    </row>
    <row r="124" spans="1:14" x14ac:dyDescent="0.25">
      <c r="A124" s="236"/>
      <c r="B124" s="92" t="s">
        <v>26</v>
      </c>
      <c r="C124" s="38" t="str">
        <f>E27</f>
        <v/>
      </c>
      <c r="D124" s="30" t="str">
        <f>IF(E27="","",E27-G27)</f>
        <v/>
      </c>
      <c r="E124" s="38" t="str">
        <f>D124</f>
        <v/>
      </c>
      <c r="F124" s="30" t="str">
        <f>E27</f>
        <v/>
      </c>
      <c r="G124" s="41" t="s">
        <v>21</v>
      </c>
      <c r="H124" s="58"/>
      <c r="J124" s="58"/>
      <c r="N124" s="236"/>
    </row>
    <row r="125" spans="1:14" ht="17.25" x14ac:dyDescent="0.25">
      <c r="A125" s="236"/>
      <c r="B125" s="92" t="s">
        <v>25</v>
      </c>
      <c r="C125" s="39" t="str">
        <f>IF($G$79="",$G$78,$G$79)</f>
        <v/>
      </c>
      <c r="D125" s="28" t="str">
        <f>$C$92</f>
        <v/>
      </c>
      <c r="E125" s="39" t="str">
        <f>$C$92</f>
        <v/>
      </c>
      <c r="F125" s="28" t="str">
        <f>$C$92</f>
        <v/>
      </c>
      <c r="G125" s="41" t="s">
        <v>191</v>
      </c>
      <c r="H125" s="17"/>
      <c r="J125" s="17"/>
      <c r="N125" s="236"/>
    </row>
    <row r="126" spans="1:14" x14ac:dyDescent="0.25">
      <c r="A126" s="236"/>
      <c r="B126" s="92" t="s">
        <v>24</v>
      </c>
      <c r="C126" s="113" t="str">
        <f>IF($B$79="",IF(B74="OSB",VLOOKUP(B74&amp;B75&amp;B76&amp;K73&amp;K76,Table1113[],3,FALSE),IF(B74="Plywood",VLOOKUP(B74&amp;B75&amp;B76&amp;K73&amp;K76,Table1113[],3,FALSE),"")),$B$79)</f>
        <v/>
      </c>
      <c r="D126" s="114" t="str">
        <f>C126</f>
        <v/>
      </c>
      <c r="E126" s="113" t="str">
        <f>C126</f>
        <v/>
      </c>
      <c r="F126" s="114" t="str">
        <f>C126</f>
        <v/>
      </c>
      <c r="G126" s="41" t="s">
        <v>23</v>
      </c>
      <c r="N126" s="236"/>
    </row>
    <row r="127" spans="1:14" x14ac:dyDescent="0.25">
      <c r="A127" s="236"/>
      <c r="B127" s="92" t="s">
        <v>22</v>
      </c>
      <c r="C127" s="38" t="str">
        <f>IF(E25="","",E25)</f>
        <v/>
      </c>
      <c r="D127" s="30" t="str">
        <f>C127</f>
        <v/>
      </c>
      <c r="E127" s="38" t="str">
        <f>IF(E26="","",E26)</f>
        <v/>
      </c>
      <c r="F127" s="30" t="str">
        <f>E127</f>
        <v/>
      </c>
      <c r="G127" s="41" t="s">
        <v>21</v>
      </c>
      <c r="H127" s="58"/>
      <c r="J127" s="58"/>
      <c r="L127" s="23"/>
      <c r="M127" s="23"/>
      <c r="N127" s="236"/>
    </row>
    <row r="128" spans="1:14" x14ac:dyDescent="0.25">
      <c r="A128" s="236"/>
      <c r="B128" s="92" t="s">
        <v>53</v>
      </c>
      <c r="C128" s="55" t="str">
        <f>IF($K$77="","",$K$77)</f>
        <v/>
      </c>
      <c r="D128" s="28" t="str">
        <f>C128</f>
        <v/>
      </c>
      <c r="E128" s="39" t="str">
        <f>L77</f>
        <v/>
      </c>
      <c r="F128" s="28" t="str">
        <f>E128</f>
        <v/>
      </c>
      <c r="G128" s="41" t="s">
        <v>20</v>
      </c>
      <c r="H128" s="17"/>
      <c r="J128" s="17"/>
      <c r="N128" s="236"/>
    </row>
    <row r="129" spans="1:14" x14ac:dyDescent="0.25">
      <c r="A129" s="236"/>
      <c r="B129" s="92" t="s">
        <v>48</v>
      </c>
      <c r="C129" s="62" t="str">
        <f>IF($K$78="","",$K$78)</f>
        <v/>
      </c>
      <c r="D129" s="34" t="str">
        <f>C129</f>
        <v/>
      </c>
      <c r="E129" s="62" t="str">
        <f>L78</f>
        <v/>
      </c>
      <c r="F129" s="34" t="str">
        <f>E129</f>
        <v/>
      </c>
      <c r="G129" s="41" t="s">
        <v>19</v>
      </c>
      <c r="H129" s="17"/>
      <c r="J129" s="17"/>
      <c r="N129" s="236"/>
    </row>
    <row r="130" spans="1:14" x14ac:dyDescent="0.25">
      <c r="A130" s="236"/>
      <c r="N130" s="236"/>
    </row>
    <row r="131" spans="1:14" ht="15.75" thickBot="1" x14ac:dyDescent="0.3">
      <c r="A131" s="236"/>
      <c r="C131" s="6" t="s">
        <v>82</v>
      </c>
      <c r="N131" s="236"/>
    </row>
    <row r="132" spans="1:14" x14ac:dyDescent="0.25">
      <c r="A132" s="236"/>
      <c r="C132" s="252" t="s">
        <v>18</v>
      </c>
      <c r="D132" s="253"/>
      <c r="E132" s="254"/>
      <c r="F132" s="252" t="s">
        <v>17</v>
      </c>
      <c r="G132" s="253"/>
      <c r="H132" s="254"/>
      <c r="N132" s="236"/>
    </row>
    <row r="133" spans="1:14" ht="15.75" thickBot="1" x14ac:dyDescent="0.3">
      <c r="A133" s="236"/>
      <c r="C133" s="20" t="s">
        <v>12</v>
      </c>
      <c r="D133" s="19" t="s">
        <v>11</v>
      </c>
      <c r="E133" s="19" t="s">
        <v>10</v>
      </c>
      <c r="F133" s="20" t="s">
        <v>12</v>
      </c>
      <c r="G133" s="19" t="s">
        <v>11</v>
      </c>
      <c r="H133" s="18" t="s">
        <v>10</v>
      </c>
      <c r="N133" s="236"/>
    </row>
    <row r="134" spans="1:14" x14ac:dyDescent="0.25">
      <c r="A134" s="236"/>
      <c r="C134" s="16" t="s">
        <v>8</v>
      </c>
      <c r="D134" s="15" t="s">
        <v>7</v>
      </c>
      <c r="E134" s="15" t="s">
        <v>353</v>
      </c>
      <c r="F134" s="16" t="s">
        <v>8</v>
      </c>
      <c r="G134" s="15" t="s">
        <v>7</v>
      </c>
      <c r="H134" s="14" t="s">
        <v>353</v>
      </c>
      <c r="J134" s="68" t="s">
        <v>13</v>
      </c>
      <c r="N134" s="236"/>
    </row>
    <row r="135" spans="1:14" ht="15.75" thickBot="1" x14ac:dyDescent="0.3">
      <c r="A135" s="236"/>
      <c r="C135" s="13" t="str">
        <f>IFERROR(8*C122*C124^3/(C123*C125*C127),"")</f>
        <v/>
      </c>
      <c r="D135" s="12" t="str">
        <f>IFERROR(C122*C124/(C126*1000),"")</f>
        <v/>
      </c>
      <c r="E135" s="11" t="str">
        <f>IFERROR(C129*C122*C124/C128*(C124/C127),"")</f>
        <v/>
      </c>
      <c r="F135" s="13" t="str">
        <f>IFERROR(8*D122*D124^3/(D123*D125*D127),"")</f>
        <v/>
      </c>
      <c r="G135" s="12" t="str">
        <f>IFERROR(D122*D124/(D126*1000),"")</f>
        <v/>
      </c>
      <c r="H135" s="11" t="str">
        <f>IFERROR(D129*D122*D124/D128*(D124/D127),"")</f>
        <v/>
      </c>
      <c r="J135" s="69" t="s">
        <v>9</v>
      </c>
      <c r="L135" s="17"/>
      <c r="N135" s="236"/>
    </row>
    <row r="136" spans="1:14" ht="15.75" thickBot="1" x14ac:dyDescent="0.3">
      <c r="A136" s="236"/>
      <c r="C136" s="10"/>
      <c r="D136" s="67" t="s">
        <v>16</v>
      </c>
      <c r="E136" s="7">
        <f>SUM(C135:E135)</f>
        <v>0</v>
      </c>
      <c r="F136" s="9"/>
      <c r="G136" s="67" t="s">
        <v>16</v>
      </c>
      <c r="H136" s="7">
        <f>SUM(F135:H135)</f>
        <v>0</v>
      </c>
      <c r="J136" s="70" t="str">
        <f>IF(H135="","",AVERAGE(E136,H136,E141,H141))</f>
        <v/>
      </c>
      <c r="K136" t="s">
        <v>19</v>
      </c>
      <c r="L136" s="17"/>
      <c r="N136" s="236"/>
    </row>
    <row r="137" spans="1:14" ht="15.75" thickBot="1" x14ac:dyDescent="0.3">
      <c r="A137" s="236"/>
      <c r="C137" s="252" t="s">
        <v>15</v>
      </c>
      <c r="D137" s="253"/>
      <c r="E137" s="254"/>
      <c r="F137" s="252" t="s">
        <v>14</v>
      </c>
      <c r="G137" s="253"/>
      <c r="H137" s="254"/>
      <c r="J137" s="71" t="str">
        <f>IFERROR(4*J136/(C124*12),"")</f>
        <v/>
      </c>
      <c r="K137" t="s">
        <v>6</v>
      </c>
      <c r="L137" s="124"/>
      <c r="M137" s="124"/>
      <c r="N137" s="236"/>
    </row>
    <row r="138" spans="1:14" x14ac:dyDescent="0.25">
      <c r="A138" s="236"/>
      <c r="C138" s="20" t="s">
        <v>12</v>
      </c>
      <c r="D138" s="19" t="s">
        <v>11</v>
      </c>
      <c r="E138" s="19" t="s">
        <v>10</v>
      </c>
      <c r="F138" s="20" t="s">
        <v>12</v>
      </c>
      <c r="G138" s="19" t="s">
        <v>11</v>
      </c>
      <c r="H138" s="18" t="s">
        <v>10</v>
      </c>
      <c r="J138" s="3"/>
      <c r="K138" s="124"/>
      <c r="L138" s="124"/>
      <c r="M138" s="124"/>
      <c r="N138" s="236"/>
    </row>
    <row r="139" spans="1:14" x14ac:dyDescent="0.25">
      <c r="A139" s="236"/>
      <c r="C139" s="16" t="s">
        <v>8</v>
      </c>
      <c r="D139" s="15" t="s">
        <v>7</v>
      </c>
      <c r="E139" s="15" t="s">
        <v>353</v>
      </c>
      <c r="F139" s="16" t="s">
        <v>8</v>
      </c>
      <c r="G139" s="15" t="s">
        <v>7</v>
      </c>
      <c r="H139" s="14" t="s">
        <v>353</v>
      </c>
      <c r="N139" s="236"/>
    </row>
    <row r="140" spans="1:14" ht="15.75" thickBot="1" x14ac:dyDescent="0.3">
      <c r="A140" s="236"/>
      <c r="C140" s="13" t="str">
        <f>IFERROR(8*E122*E124^3/(E123*E125*E127),"")</f>
        <v/>
      </c>
      <c r="D140" s="12" t="str">
        <f>IFERROR(E122*E124/(E126*1000),"")</f>
        <v/>
      </c>
      <c r="E140" s="11" t="str">
        <f>IFERROR(E129*E122*E124/E128*(E124/E127),"")</f>
        <v/>
      </c>
      <c r="F140" s="13" t="str">
        <f>IFERROR(8*F122*F124^3/(F123*F125*F127),"")</f>
        <v/>
      </c>
      <c r="G140" s="12" t="str">
        <f>IFERROR(F122*F124/(F126*1000),"")</f>
        <v/>
      </c>
      <c r="H140" s="11" t="str">
        <f>IFERROR(F129*F122*F124/F128*(F124/F127),"")</f>
        <v/>
      </c>
      <c r="N140" s="236"/>
    </row>
    <row r="141" spans="1:14" ht="15.75" thickBot="1" x14ac:dyDescent="0.3">
      <c r="A141" s="236"/>
      <c r="C141" s="10"/>
      <c r="D141" s="67" t="s">
        <v>16</v>
      </c>
      <c r="E141" s="7">
        <f>SUM(C140:E140)</f>
        <v>0</v>
      </c>
      <c r="F141" s="9"/>
      <c r="G141" s="67" t="s">
        <v>16</v>
      </c>
      <c r="H141" s="7">
        <f>SUM(F140:H140)</f>
        <v>0</v>
      </c>
      <c r="N141" s="236"/>
    </row>
    <row r="142" spans="1:14" x14ac:dyDescent="0.25">
      <c r="A142" s="236"/>
      <c r="C142" s="290"/>
      <c r="D142" s="290"/>
      <c r="E142" s="290"/>
      <c r="F142" s="253"/>
      <c r="G142" s="253"/>
      <c r="H142" s="253"/>
      <c r="N142" s="236"/>
    </row>
    <row r="143" spans="1:14" ht="15" customHeight="1" x14ac:dyDescent="0.25">
      <c r="A143" s="236"/>
      <c r="B143" s="286" t="s">
        <v>161</v>
      </c>
      <c r="C143" s="286"/>
      <c r="D143" s="286"/>
      <c r="E143" s="286"/>
      <c r="F143" s="286"/>
      <c r="G143" s="286"/>
      <c r="H143" s="286"/>
      <c r="I143" s="286"/>
      <c r="J143" s="286"/>
      <c r="K143" s="286"/>
      <c r="L143" s="286"/>
      <c r="M143" s="286"/>
      <c r="N143" s="236"/>
    </row>
    <row r="144" spans="1:14" x14ac:dyDescent="0.25">
      <c r="A144" s="164"/>
      <c r="B144" s="169"/>
      <c r="C144" s="169"/>
      <c r="D144" s="169"/>
      <c r="E144" s="169"/>
      <c r="F144" s="169"/>
      <c r="G144" s="169"/>
      <c r="H144" s="169"/>
      <c r="I144" s="169"/>
      <c r="J144" s="169"/>
      <c r="K144" s="169"/>
      <c r="L144" s="169"/>
      <c r="M144" s="169"/>
      <c r="N144" s="164"/>
    </row>
    <row r="145" spans="1:14" ht="15.75" thickBot="1" x14ac:dyDescent="0.3">
      <c r="A145" s="164"/>
      <c r="B145" s="239" t="s">
        <v>142</v>
      </c>
      <c r="C145" s="239"/>
      <c r="D145" s="239"/>
      <c r="E145" s="239"/>
      <c r="F145" s="239"/>
      <c r="G145" s="239"/>
      <c r="H145" s="239"/>
      <c r="I145" s="239"/>
      <c r="J145" s="239"/>
      <c r="K145" s="239"/>
      <c r="L145" s="239"/>
      <c r="M145" s="239"/>
      <c r="N145" s="164"/>
    </row>
    <row r="146" spans="1:14" ht="15" customHeight="1" x14ac:dyDescent="0.25">
      <c r="A146" s="164"/>
      <c r="B146" s="294" t="s">
        <v>371</v>
      </c>
      <c r="C146" s="294"/>
      <c r="D146" s="294"/>
      <c r="E146" s="294"/>
      <c r="F146" s="294"/>
      <c r="G146" s="294"/>
      <c r="H146" s="294"/>
      <c r="I146" s="294"/>
      <c r="J146" s="294"/>
      <c r="K146" s="294"/>
      <c r="L146" s="294"/>
      <c r="M146" s="294"/>
      <c r="N146" s="164"/>
    </row>
    <row r="147" spans="1:14" x14ac:dyDescent="0.25">
      <c r="A147" s="164"/>
      <c r="B147" s="295"/>
      <c r="C147" s="295"/>
      <c r="D147" s="295"/>
      <c r="E147" s="295"/>
      <c r="F147" s="295"/>
      <c r="G147" s="295"/>
      <c r="H147" s="295"/>
      <c r="I147" s="295"/>
      <c r="J147" s="295"/>
      <c r="K147" s="295"/>
      <c r="L147" s="295"/>
      <c r="M147" s="295"/>
      <c r="N147" s="164"/>
    </row>
    <row r="148" spans="1:14" x14ac:dyDescent="0.25">
      <c r="A148" s="164"/>
      <c r="B148" s="295"/>
      <c r="C148" s="295"/>
      <c r="D148" s="295"/>
      <c r="E148" s="295"/>
      <c r="F148" s="295"/>
      <c r="G148" s="295"/>
      <c r="H148" s="295"/>
      <c r="I148" s="295"/>
      <c r="J148" s="295"/>
      <c r="K148" s="295"/>
      <c r="L148" s="295"/>
      <c r="M148" s="295"/>
      <c r="N148" s="164"/>
    </row>
    <row r="149" spans="1:14" ht="30" customHeight="1" x14ac:dyDescent="0.25">
      <c r="A149" s="164"/>
      <c r="B149" s="295"/>
      <c r="C149" s="295"/>
      <c r="D149" s="295"/>
      <c r="E149" s="295"/>
      <c r="F149" s="295"/>
      <c r="G149" s="295"/>
      <c r="H149" s="295"/>
      <c r="I149" s="295"/>
      <c r="J149" s="295"/>
      <c r="K149" s="295"/>
      <c r="L149" s="295"/>
      <c r="M149" s="295"/>
      <c r="N149" s="164"/>
    </row>
    <row r="150" spans="1:14" x14ac:dyDescent="0.25">
      <c r="A150" s="164"/>
      <c r="B150" s="165"/>
      <c r="C150" s="165"/>
      <c r="D150" s="165"/>
      <c r="E150" s="165"/>
      <c r="F150" s="165"/>
      <c r="G150" s="165"/>
      <c r="H150" s="165"/>
      <c r="I150" s="165"/>
      <c r="J150" s="165"/>
      <c r="K150" s="165"/>
      <c r="L150" s="165"/>
      <c r="M150" s="165"/>
      <c r="N150" s="164"/>
    </row>
    <row r="151" spans="1:14" s="236" customFormat="1" x14ac:dyDescent="0.25"/>
    <row r="152" spans="1:14" s="236" customFormat="1" x14ac:dyDescent="0.25"/>
    <row r="153" spans="1:14" s="236" customFormat="1" x14ac:dyDescent="0.25"/>
    <row r="154" spans="1:14" s="236" customFormat="1" x14ac:dyDescent="0.25"/>
    <row r="155" spans="1:14" s="236" customFormat="1" x14ac:dyDescent="0.25"/>
    <row r="156" spans="1:14" s="236" customFormat="1" x14ac:dyDescent="0.25"/>
    <row r="157" spans="1:14" s="236" customFormat="1" x14ac:dyDescent="0.25"/>
    <row r="158" spans="1:14" s="236" customFormat="1" x14ac:dyDescent="0.25"/>
    <row r="159" spans="1:14" s="236" customFormat="1" x14ac:dyDescent="0.25"/>
    <row r="160" spans="1:14" s="236" customFormat="1" x14ac:dyDescent="0.25"/>
    <row r="161" s="236" customFormat="1" x14ac:dyDescent="0.25"/>
    <row r="162" s="236" customFormat="1" x14ac:dyDescent="0.25"/>
    <row r="163" s="236" customFormat="1" x14ac:dyDescent="0.25"/>
    <row r="164" s="236" customFormat="1" x14ac:dyDescent="0.25"/>
    <row r="165" s="236" customFormat="1" x14ac:dyDescent="0.25"/>
    <row r="166" s="236" customFormat="1" x14ac:dyDescent="0.25"/>
    <row r="167" s="236" customFormat="1" x14ac:dyDescent="0.25"/>
    <row r="168" s="236" customFormat="1" x14ac:dyDescent="0.25"/>
    <row r="169" s="236" customFormat="1" x14ac:dyDescent="0.25"/>
    <row r="170" s="236" customFormat="1" x14ac:dyDescent="0.25"/>
    <row r="171" s="236" customFormat="1" x14ac:dyDescent="0.25"/>
    <row r="172" s="236" customFormat="1" x14ac:dyDescent="0.25"/>
    <row r="173" s="236" customFormat="1" x14ac:dyDescent="0.25"/>
    <row r="174" s="236" customFormat="1" x14ac:dyDescent="0.25"/>
    <row r="175" s="236" customFormat="1" x14ac:dyDescent="0.25"/>
    <row r="176" s="236" customFormat="1" x14ac:dyDescent="0.25"/>
    <row r="177" s="236" customFormat="1" x14ac:dyDescent="0.25"/>
    <row r="178" s="236" customFormat="1" x14ac:dyDescent="0.25"/>
    <row r="179" s="236" customFormat="1" x14ac:dyDescent="0.25"/>
    <row r="180" s="236" customFormat="1" x14ac:dyDescent="0.25"/>
    <row r="181" s="236" customFormat="1" x14ac:dyDescent="0.25"/>
    <row r="182" s="236" customFormat="1" x14ac:dyDescent="0.25"/>
    <row r="183" s="236" customFormat="1" x14ac:dyDescent="0.25"/>
    <row r="184" s="236" customFormat="1" x14ac:dyDescent="0.25"/>
    <row r="185" s="236" customFormat="1" x14ac:dyDescent="0.25"/>
    <row r="186" s="236" customFormat="1" x14ac:dyDescent="0.25"/>
    <row r="187" s="236" customFormat="1" x14ac:dyDescent="0.25"/>
    <row r="188" s="236" customFormat="1" x14ac:dyDescent="0.25"/>
    <row r="189" s="236" customFormat="1" x14ac:dyDescent="0.25"/>
    <row r="190" s="236" customFormat="1" x14ac:dyDescent="0.25"/>
    <row r="191" s="236" customFormat="1" x14ac:dyDescent="0.25"/>
    <row r="192" s="236" customFormat="1" x14ac:dyDescent="0.25"/>
    <row r="193" s="236" customFormat="1" x14ac:dyDescent="0.25"/>
    <row r="194" s="236" customFormat="1" x14ac:dyDescent="0.25"/>
  </sheetData>
  <sheetProtection algorithmName="SHA-512" hashValue="Mi7QDtLmacyVeP11rTZxHFxi2sCsCIsyPQgM87p8x1xuzUhXhcrmlgIg4hBdVnfhp3PiSrNWwpUPYFc2TZsAGQ==" saltValue="M/mHDGqhIP+Hs1dqnXVjTg==" spinCount="100000" sheet="1" objects="1" scenarios="1"/>
  <protectedRanges>
    <protectedRange sqref="C4 L4 C5:L8 E24:E26 G25:G28 B74:C76 B78:C79 G74:G75 G77:H77 G79 K73 K76:K78 K24" name="Range1"/>
  </protectedRanges>
  <mergeCells count="62">
    <mergeCell ref="C5:L5"/>
    <mergeCell ref="L4:M4"/>
    <mergeCell ref="C4:J4"/>
    <mergeCell ref="B145:M145"/>
    <mergeCell ref="B146:M149"/>
    <mergeCell ref="B75:C75"/>
    <mergeCell ref="B76:C76"/>
    <mergeCell ref="B77:C77"/>
    <mergeCell ref="B78:C78"/>
    <mergeCell ref="B79:C79"/>
    <mergeCell ref="G102:J102"/>
    <mergeCell ref="H86:J87"/>
    <mergeCell ref="G74:H74"/>
    <mergeCell ref="E77:F77"/>
    <mergeCell ref="E79:F79"/>
    <mergeCell ref="B81:F81"/>
    <mergeCell ref="A151:XFD194"/>
    <mergeCell ref="A1:A143"/>
    <mergeCell ref="N1:N143"/>
    <mergeCell ref="B2:M2"/>
    <mergeCell ref="B1:M1"/>
    <mergeCell ref="C142:E142"/>
    <mergeCell ref="F142:H142"/>
    <mergeCell ref="B114:F114"/>
    <mergeCell ref="C132:E132"/>
    <mergeCell ref="F132:H132"/>
    <mergeCell ref="C137:E137"/>
    <mergeCell ref="F137:H137"/>
    <mergeCell ref="H119:J121"/>
    <mergeCell ref="C107:F107"/>
    <mergeCell ref="G107:J107"/>
    <mergeCell ref="B74:C74"/>
    <mergeCell ref="C6:L6"/>
    <mergeCell ref="B23:M23"/>
    <mergeCell ref="B72:E72"/>
    <mergeCell ref="F73:H73"/>
    <mergeCell ref="I31:K31"/>
    <mergeCell ref="I32:K32"/>
    <mergeCell ref="C34:F34"/>
    <mergeCell ref="I34:K34"/>
    <mergeCell ref="C8:L8"/>
    <mergeCell ref="C7:L7"/>
    <mergeCell ref="G68:M68"/>
    <mergeCell ref="I24:J24"/>
    <mergeCell ref="B68:D68"/>
    <mergeCell ref="I25:J25"/>
    <mergeCell ref="I28:K28"/>
    <mergeCell ref="L24:M24"/>
    <mergeCell ref="B143:M143"/>
    <mergeCell ref="B67:D67"/>
    <mergeCell ref="B64:M64"/>
    <mergeCell ref="I33:K33"/>
    <mergeCell ref="B65:D65"/>
    <mergeCell ref="F65:H65"/>
    <mergeCell ref="J65:L65"/>
    <mergeCell ref="B66:D66"/>
    <mergeCell ref="F66:H66"/>
    <mergeCell ref="J66:L66"/>
    <mergeCell ref="C33:F33"/>
    <mergeCell ref="C102:F102"/>
    <mergeCell ref="G69:M69"/>
    <mergeCell ref="G70:M70"/>
  </mergeCells>
  <conditionalFormatting sqref="H119">
    <cfRule type="expression" dxfId="32" priority="6">
      <formula>$C$126="N/A"</formula>
    </cfRule>
  </conditionalFormatting>
  <conditionalFormatting sqref="H86">
    <cfRule type="expression" dxfId="31" priority="9">
      <formula>$C$93="N/A"</formula>
    </cfRule>
  </conditionalFormatting>
  <conditionalFormatting sqref="G68:M68">
    <cfRule type="expression" dxfId="30" priority="2">
      <formula>$F$85="**"</formula>
    </cfRule>
  </conditionalFormatting>
  <conditionalFormatting sqref="I28:K28">
    <cfRule type="expression" dxfId="29" priority="1">
      <formula>$I$28="No Good. Aspect Ratios &gt; 3.5"</formula>
    </cfRule>
  </conditionalFormatting>
  <dataValidations count="1">
    <dataValidation type="list" allowBlank="1" showInputMessage="1" showErrorMessage="1" sqref="B75:C75">
      <formula1>INDIRECT($B$74)</formula1>
    </dataValidation>
  </dataValidations>
  <printOptions horizontalCentered="1"/>
  <pageMargins left="0.7" right="0.7" top="0.5" bottom="0.5" header="0.3" footer="0.3"/>
  <pageSetup scale="57" fitToHeight="0" orientation="portrait" errors="blank" r:id="rId1"/>
  <headerFooter>
    <oddFooter>&amp;C&amp;G</oddFooter>
    <firstFooter>&amp;C&amp;G</firstFooter>
  </headerFooter>
  <rowBreaks count="2" manualBreakCount="2">
    <brk id="70" max="16383" man="1"/>
    <brk id="112" min="1" max="12" man="1"/>
  </rowBreaks>
  <ignoredErrors>
    <ignoredError sqref="E88 E94 E98:E99 E121 E128:E129" formula="1"/>
  </ignoredErrors>
  <drawing r:id="rId2"/>
  <legacyDrawing r:id="rId3"/>
  <legacyDrawingHF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LookUp!$A$2:$A$4</xm:f>
          </x14:formula1>
          <xm:sqref>B74:C74</xm:sqref>
        </x14:dataValidation>
        <x14:dataValidation type="list" allowBlank="1" showInputMessage="1" showErrorMessage="1">
          <x14:formula1>
            <xm:f>LookUp!#REF!</xm:f>
          </x14:formula1>
          <xm:sqref>B77:C77</xm:sqref>
        </x14:dataValidation>
        <x14:dataValidation type="list" allowBlank="1" showInputMessage="1" showErrorMessage="1">
          <x14:formula1>
            <xm:f>LookUp!$G$2:$G$5</xm:f>
          </x14:formula1>
          <xm:sqref>K76</xm:sqref>
        </x14:dataValidation>
        <x14:dataValidation type="list" allowBlank="1" showInputMessage="1" showErrorMessage="1">
          <x14:formula1>
            <xm:f>LookUp!$F$2:$F$3</xm:f>
          </x14:formula1>
          <xm:sqref>K73</xm:sqref>
        </x14:dataValidation>
        <x14:dataValidation type="list" allowBlank="1" showInputMessage="1" showErrorMessage="1">
          <x14:formula1>
            <xm:f>LookUp!$H$2:$H$7</xm:f>
          </x14:formula1>
          <xm:sqref>H77</xm:sqref>
        </x14:dataValidation>
        <x14:dataValidation type="list" allowBlank="1" showInputMessage="1" showErrorMessage="1">
          <x14:formula1>
            <xm:f>LookUp!$E$2:$E$3</xm:f>
          </x14:formula1>
          <xm:sqref>B76:C76</xm:sqref>
        </x14:dataValidation>
        <x14:dataValidation type="list" allowBlank="1" showInputMessage="1" showErrorMessage="1">
          <x14:formula1>
            <xm:f>LookUp!$E$10:$E$11</xm:f>
          </x14:formula1>
          <xm:sqref>K24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AA210"/>
  <sheetViews>
    <sheetView showGridLines="0" showRowColHeaders="0" zoomScaleNormal="100" workbookViewId="0">
      <selection activeCell="G78" sqref="G78:M78"/>
    </sheetView>
  </sheetViews>
  <sheetFormatPr defaultRowHeight="15" x14ac:dyDescent="0.25"/>
  <cols>
    <col min="1" max="1" width="3.140625" customWidth="1"/>
    <col min="2" max="2" width="13.7109375" customWidth="1"/>
    <col min="3" max="10" width="11.7109375" customWidth="1"/>
    <col min="11" max="11" width="13.7109375" customWidth="1"/>
    <col min="12" max="12" width="17.85546875" customWidth="1"/>
    <col min="13" max="13" width="19.140625" customWidth="1"/>
    <col min="14" max="14" width="169.42578125" customWidth="1"/>
    <col min="15" max="15" width="15.7109375" hidden="1" customWidth="1"/>
    <col min="16" max="16" width="6" bestFit="1" customWidth="1"/>
    <col min="17" max="17" width="5.7109375" bestFit="1" customWidth="1"/>
    <col min="18" max="19" width="5" bestFit="1" customWidth="1"/>
    <col min="20" max="20" width="4.7109375" bestFit="1" customWidth="1"/>
  </cols>
  <sheetData>
    <row r="1" spans="1:27" x14ac:dyDescent="0.25">
      <c r="A1" s="236"/>
      <c r="B1" s="236"/>
      <c r="C1" s="236"/>
      <c r="D1" s="236"/>
      <c r="E1" s="236"/>
      <c r="F1" s="236"/>
      <c r="G1" s="236"/>
      <c r="H1" s="236"/>
      <c r="I1" s="236"/>
      <c r="J1" s="236"/>
      <c r="K1" s="236"/>
      <c r="L1" s="236"/>
      <c r="M1" s="236"/>
      <c r="N1" s="236"/>
    </row>
    <row r="2" spans="1:27" ht="111.75" customHeight="1" x14ac:dyDescent="0.35">
      <c r="A2" s="236"/>
      <c r="B2" s="279"/>
      <c r="C2" s="279"/>
      <c r="D2" s="279"/>
      <c r="E2" s="279"/>
      <c r="F2" s="279"/>
      <c r="G2" s="279"/>
      <c r="H2" s="279"/>
      <c r="I2" s="279"/>
      <c r="J2" s="279"/>
      <c r="K2" s="279"/>
      <c r="L2" s="279"/>
      <c r="M2" s="44"/>
      <c r="N2" s="236"/>
    </row>
    <row r="3" spans="1:27" ht="15" customHeight="1" thickBot="1" x14ac:dyDescent="0.3">
      <c r="A3" s="236"/>
      <c r="B3" s="52" t="s">
        <v>60</v>
      </c>
      <c r="C3" s="52"/>
      <c r="D3" s="52"/>
      <c r="E3" s="8"/>
      <c r="F3" s="8"/>
      <c r="G3" s="8"/>
      <c r="H3" s="8"/>
      <c r="I3" s="8"/>
      <c r="J3" s="8"/>
      <c r="K3" s="8"/>
      <c r="L3" s="8"/>
      <c r="M3" s="8"/>
      <c r="N3" s="236"/>
    </row>
    <row r="4" spans="1:27" ht="15" customHeight="1" x14ac:dyDescent="0.25">
      <c r="A4" s="236"/>
      <c r="B4" s="46" t="s">
        <v>62</v>
      </c>
      <c r="C4" s="280"/>
      <c r="D4" s="280"/>
      <c r="E4" s="280"/>
      <c r="F4" s="280"/>
      <c r="G4" s="280"/>
      <c r="H4" s="280"/>
      <c r="I4" s="280"/>
      <c r="J4" s="280"/>
      <c r="K4" s="93" t="s">
        <v>59</v>
      </c>
      <c r="L4" s="280"/>
      <c r="M4" s="280"/>
      <c r="N4" s="236"/>
      <c r="W4" s="24"/>
      <c r="X4" s="24"/>
      <c r="Y4" s="24"/>
      <c r="Z4" s="24"/>
      <c r="AA4" s="24"/>
    </row>
    <row r="5" spans="1:27" ht="15" customHeight="1" x14ac:dyDescent="0.25">
      <c r="A5" s="236"/>
      <c r="B5" s="45" t="s">
        <v>58</v>
      </c>
      <c r="C5" s="280"/>
      <c r="D5" s="280"/>
      <c r="E5" s="280"/>
      <c r="F5" s="280"/>
      <c r="G5" s="280"/>
      <c r="H5" s="280"/>
      <c r="I5" s="280"/>
      <c r="J5" s="280"/>
      <c r="K5" s="280"/>
      <c r="L5" s="280"/>
      <c r="M5" s="280"/>
      <c r="N5" s="236"/>
      <c r="U5" s="24"/>
      <c r="V5" s="24"/>
      <c r="W5" s="24"/>
      <c r="X5" s="24"/>
      <c r="Y5" s="24"/>
      <c r="Z5" s="24"/>
      <c r="AA5" s="24"/>
    </row>
    <row r="6" spans="1:27" ht="15" customHeight="1" x14ac:dyDescent="0.25">
      <c r="A6" s="236"/>
      <c r="B6" s="45" t="s">
        <v>56</v>
      </c>
      <c r="C6" s="280"/>
      <c r="D6" s="280"/>
      <c r="E6" s="280"/>
      <c r="F6" s="280"/>
      <c r="G6" s="280"/>
      <c r="H6" s="280"/>
      <c r="I6" s="280"/>
      <c r="J6" s="280"/>
      <c r="K6" s="280"/>
      <c r="L6" s="280"/>
      <c r="M6" s="280"/>
      <c r="N6" s="236"/>
      <c r="U6" s="24"/>
      <c r="V6" s="24"/>
      <c r="W6" s="24"/>
      <c r="X6" s="24"/>
      <c r="Y6" s="24"/>
      <c r="Z6" s="24"/>
      <c r="AA6" s="24"/>
    </row>
    <row r="7" spans="1:27" ht="15" customHeight="1" x14ac:dyDescent="0.25">
      <c r="A7" s="236"/>
      <c r="B7" s="45" t="s">
        <v>57</v>
      </c>
      <c r="C7" s="281"/>
      <c r="D7" s="281"/>
      <c r="E7" s="281"/>
      <c r="F7" s="281"/>
      <c r="G7" s="281"/>
      <c r="H7" s="281"/>
      <c r="I7" s="281"/>
      <c r="J7" s="281"/>
      <c r="K7" s="281"/>
      <c r="L7" s="281"/>
      <c r="M7" s="281"/>
      <c r="N7" s="236"/>
      <c r="U7" s="24"/>
      <c r="V7" s="24"/>
      <c r="W7" s="24"/>
      <c r="X7" s="24"/>
      <c r="Y7" s="24"/>
      <c r="Z7" s="24"/>
      <c r="AA7" s="24"/>
    </row>
    <row r="8" spans="1:27" ht="15" customHeight="1" x14ac:dyDescent="0.25">
      <c r="A8" s="236"/>
      <c r="B8" s="45" t="s">
        <v>61</v>
      </c>
      <c r="C8" s="281"/>
      <c r="D8" s="281"/>
      <c r="E8" s="281"/>
      <c r="F8" s="281"/>
      <c r="G8" s="281"/>
      <c r="H8" s="281"/>
      <c r="I8" s="281"/>
      <c r="J8" s="281"/>
      <c r="K8" s="281"/>
      <c r="L8" s="281"/>
      <c r="M8" s="281"/>
      <c r="N8" s="236"/>
      <c r="U8" s="24"/>
      <c r="V8" s="24"/>
      <c r="W8" s="24"/>
      <c r="X8" s="24"/>
      <c r="Y8" s="24"/>
      <c r="Z8" s="24"/>
      <c r="AA8" s="24"/>
    </row>
    <row r="9" spans="1:27" ht="15" customHeight="1" x14ac:dyDescent="0.25">
      <c r="A9" s="236"/>
      <c r="B9" s="166"/>
      <c r="C9" s="167"/>
      <c r="D9" s="167"/>
      <c r="E9" s="167"/>
      <c r="F9" s="167"/>
      <c r="G9" s="167"/>
      <c r="H9" s="3"/>
      <c r="J9" s="3"/>
      <c r="K9" s="3"/>
      <c r="N9" s="236"/>
      <c r="U9" s="24"/>
      <c r="V9" s="24"/>
      <c r="W9" s="24"/>
      <c r="X9" s="24"/>
      <c r="Y9" s="24"/>
      <c r="Z9" s="24"/>
      <c r="AA9" s="24"/>
    </row>
    <row r="10" spans="1:27" ht="15" customHeight="1" x14ac:dyDescent="0.25">
      <c r="A10" s="236"/>
      <c r="B10" s="166"/>
      <c r="C10" s="167"/>
      <c r="D10" s="167"/>
      <c r="E10" s="167"/>
      <c r="F10" s="167"/>
      <c r="G10" s="167"/>
      <c r="H10" s="3"/>
      <c r="J10" s="3"/>
      <c r="K10" s="3"/>
      <c r="N10" s="236"/>
      <c r="U10" s="24"/>
      <c r="V10" s="24"/>
      <c r="W10" s="24"/>
      <c r="X10" s="24"/>
      <c r="Y10" s="24"/>
      <c r="Z10" s="24"/>
      <c r="AA10" s="24"/>
    </row>
    <row r="11" spans="1:27" ht="15" customHeight="1" x14ac:dyDescent="0.25">
      <c r="A11" s="236"/>
      <c r="B11" s="166"/>
      <c r="C11" s="167"/>
      <c r="D11" s="167"/>
      <c r="E11" s="167"/>
      <c r="F11" s="167"/>
      <c r="G11" s="167"/>
      <c r="H11" s="3"/>
      <c r="J11" s="3"/>
      <c r="K11" s="3"/>
      <c r="N11" s="236"/>
      <c r="U11" s="24"/>
      <c r="V11" s="24"/>
      <c r="W11" s="24"/>
      <c r="X11" s="24"/>
      <c r="Y11" s="24"/>
      <c r="Z11" s="24"/>
      <c r="AA11" s="24"/>
    </row>
    <row r="12" spans="1:27" ht="15" customHeight="1" x14ac:dyDescent="0.25">
      <c r="A12" s="236"/>
      <c r="B12" s="166"/>
      <c r="C12" s="167"/>
      <c r="D12" s="167"/>
      <c r="E12" s="167"/>
      <c r="F12" s="167"/>
      <c r="G12" s="167"/>
      <c r="H12" s="3"/>
      <c r="J12" s="3"/>
      <c r="K12" s="3"/>
      <c r="N12" s="236"/>
      <c r="U12" s="24"/>
      <c r="V12" s="24"/>
      <c r="W12" s="24"/>
      <c r="X12" s="24"/>
      <c r="Y12" s="24"/>
      <c r="Z12" s="24"/>
      <c r="AA12" s="24"/>
    </row>
    <row r="13" spans="1:27" ht="15" customHeight="1" x14ac:dyDescent="0.25">
      <c r="A13" s="236"/>
      <c r="B13" s="166"/>
      <c r="C13" s="167"/>
      <c r="D13" s="167"/>
      <c r="E13" s="167"/>
      <c r="F13" s="167"/>
      <c r="G13" s="167"/>
      <c r="H13" s="3"/>
      <c r="J13" s="3"/>
      <c r="K13" s="3"/>
      <c r="N13" s="236"/>
      <c r="U13" s="24"/>
      <c r="V13" s="24"/>
      <c r="W13" s="24"/>
      <c r="X13" s="24"/>
      <c r="Y13" s="24"/>
      <c r="Z13" s="24"/>
      <c r="AA13" s="24"/>
    </row>
    <row r="14" spans="1:27" ht="15" customHeight="1" x14ac:dyDescent="0.25">
      <c r="A14" s="236"/>
      <c r="B14" s="166"/>
      <c r="C14" s="167"/>
      <c r="D14" s="167"/>
      <c r="E14" s="167"/>
      <c r="F14" s="167"/>
      <c r="G14" s="167"/>
      <c r="H14" s="3"/>
      <c r="J14" s="3"/>
      <c r="K14" s="3"/>
      <c r="N14" s="236"/>
      <c r="U14" s="24"/>
      <c r="V14" s="24"/>
      <c r="W14" s="24"/>
      <c r="X14" s="24"/>
      <c r="Y14" s="24"/>
      <c r="Z14" s="24"/>
      <c r="AA14" s="24"/>
    </row>
    <row r="15" spans="1:27" ht="15" customHeight="1" x14ac:dyDescent="0.25">
      <c r="A15" s="236"/>
      <c r="B15" s="166"/>
      <c r="C15" s="167"/>
      <c r="D15" s="167"/>
      <c r="E15" s="167"/>
      <c r="F15" s="167"/>
      <c r="G15" s="167"/>
      <c r="H15" s="3"/>
      <c r="J15" s="3"/>
      <c r="K15" s="3"/>
      <c r="N15" s="236"/>
      <c r="U15" s="24"/>
      <c r="V15" s="24"/>
      <c r="W15" s="24"/>
      <c r="X15" s="24"/>
      <c r="Y15" s="24"/>
      <c r="Z15" s="24"/>
      <c r="AA15" s="24"/>
    </row>
    <row r="16" spans="1:27" ht="15" customHeight="1" x14ac:dyDescent="0.25">
      <c r="A16" s="236"/>
      <c r="B16" s="166"/>
      <c r="C16" s="167"/>
      <c r="D16" s="167"/>
      <c r="E16" s="167"/>
      <c r="F16" s="167"/>
      <c r="G16" s="167"/>
      <c r="H16" s="3"/>
      <c r="J16" s="3"/>
      <c r="K16" s="3"/>
      <c r="N16" s="236"/>
      <c r="U16" s="24"/>
      <c r="V16" s="24"/>
      <c r="W16" s="24"/>
      <c r="X16" s="24"/>
      <c r="Y16" s="24"/>
      <c r="Z16" s="24"/>
      <c r="AA16" s="24"/>
    </row>
    <row r="17" spans="1:27" ht="15" customHeight="1" x14ac:dyDescent="0.25">
      <c r="A17" s="236"/>
      <c r="H17" s="3"/>
      <c r="J17" s="3"/>
      <c r="K17" s="3"/>
      <c r="N17" s="236"/>
      <c r="U17" s="24"/>
      <c r="V17" s="24"/>
      <c r="W17" s="24"/>
      <c r="X17" s="24"/>
      <c r="Y17" s="24"/>
      <c r="Z17" s="24"/>
      <c r="AA17" s="24"/>
    </row>
    <row r="18" spans="1:27" ht="15" customHeight="1" x14ac:dyDescent="0.25">
      <c r="A18" s="236"/>
      <c r="H18" s="3"/>
      <c r="J18" s="3"/>
      <c r="K18" s="3"/>
      <c r="N18" s="236"/>
      <c r="U18" s="24"/>
      <c r="V18" s="24"/>
      <c r="W18" s="24"/>
      <c r="X18" s="24"/>
      <c r="Y18" s="24"/>
      <c r="Z18" s="24"/>
      <c r="AA18" s="24"/>
    </row>
    <row r="19" spans="1:27" ht="15" customHeight="1" x14ac:dyDescent="0.25">
      <c r="A19" s="236"/>
      <c r="H19" s="3"/>
      <c r="J19" s="3"/>
      <c r="K19" s="3"/>
      <c r="N19" s="236"/>
      <c r="U19" s="24"/>
      <c r="V19" s="24"/>
      <c r="W19" s="24"/>
      <c r="X19" s="24"/>
      <c r="Y19" s="24"/>
      <c r="Z19" s="24"/>
      <c r="AA19" s="24"/>
    </row>
    <row r="20" spans="1:27" ht="15" customHeight="1" x14ac:dyDescent="0.25">
      <c r="A20" s="236"/>
      <c r="H20" s="3"/>
      <c r="J20" s="3"/>
      <c r="K20" s="3"/>
      <c r="N20" s="236"/>
      <c r="U20" s="24"/>
      <c r="V20" s="24"/>
      <c r="W20" s="24"/>
      <c r="X20" s="24"/>
      <c r="Y20" s="24"/>
      <c r="Z20" s="24"/>
      <c r="AA20" s="24"/>
    </row>
    <row r="21" spans="1:27" ht="15" customHeight="1" x14ac:dyDescent="0.25">
      <c r="A21" s="236"/>
      <c r="H21" s="3"/>
      <c r="J21" s="3"/>
      <c r="K21" s="3"/>
      <c r="N21" s="236"/>
      <c r="U21" s="24"/>
      <c r="V21" s="24"/>
      <c r="W21" s="24"/>
      <c r="X21" s="24"/>
      <c r="Y21" s="24"/>
      <c r="Z21" s="24"/>
      <c r="AA21" s="24"/>
    </row>
    <row r="22" spans="1:27" ht="15" customHeight="1" x14ac:dyDescent="0.25">
      <c r="A22" s="236"/>
      <c r="N22" s="236"/>
      <c r="U22" s="24"/>
      <c r="V22" s="24"/>
      <c r="W22" s="24"/>
      <c r="X22" s="24"/>
      <c r="Y22" s="24"/>
      <c r="Z22" s="24"/>
      <c r="AA22" s="24"/>
    </row>
    <row r="23" spans="1:27" ht="15" customHeight="1" thickBot="1" x14ac:dyDescent="0.3">
      <c r="A23" s="236"/>
      <c r="B23" s="239" t="s">
        <v>423</v>
      </c>
      <c r="C23" s="239"/>
      <c r="D23" s="239"/>
      <c r="E23" s="239"/>
      <c r="F23" s="239"/>
      <c r="G23" s="239"/>
      <c r="H23" s="239"/>
      <c r="I23" s="239"/>
      <c r="J23" s="239"/>
      <c r="K23" s="239"/>
      <c r="L23" s="239"/>
      <c r="M23" s="239"/>
      <c r="N23" s="236"/>
      <c r="U23" s="75"/>
      <c r="V23" s="76"/>
      <c r="W23" s="24"/>
      <c r="X23" s="24"/>
      <c r="Y23" s="75"/>
      <c r="Z23" s="76"/>
      <c r="AA23" s="24"/>
    </row>
    <row r="24" spans="1:27" ht="15" customHeight="1" thickBot="1" x14ac:dyDescent="0.3">
      <c r="A24" s="236"/>
      <c r="C24" s="27" t="s">
        <v>64</v>
      </c>
      <c r="D24" s="203"/>
      <c r="E24" s="81"/>
      <c r="F24" s="101" t="s">
        <v>108</v>
      </c>
      <c r="G24" s="74"/>
      <c r="H24" s="101" t="s">
        <v>109</v>
      </c>
      <c r="J24" s="283" t="s">
        <v>427</v>
      </c>
      <c r="K24" s="283"/>
      <c r="L24" s="217" t="s">
        <v>431</v>
      </c>
      <c r="M24" s="74"/>
      <c r="N24" s="236"/>
      <c r="U24" s="75"/>
      <c r="V24" s="77"/>
      <c r="W24" s="24"/>
      <c r="X24" s="24"/>
      <c r="Y24" s="75"/>
      <c r="Z24" s="77"/>
      <c r="AA24" s="24"/>
    </row>
    <row r="25" spans="1:27" ht="15" customHeight="1" thickTop="1" x14ac:dyDescent="0.25">
      <c r="A25" s="236"/>
      <c r="C25" s="92" t="s">
        <v>65</v>
      </c>
      <c r="D25" s="196"/>
      <c r="E25" s="27" t="s">
        <v>117</v>
      </c>
      <c r="F25" s="197"/>
      <c r="G25" s="160" t="s">
        <v>120</v>
      </c>
      <c r="H25" s="84" t="str">
        <f>IF(F25="","",F25)</f>
        <v/>
      </c>
      <c r="J25" s="284" t="s">
        <v>360</v>
      </c>
      <c r="K25" s="285"/>
      <c r="L25" s="214" t="s">
        <v>365</v>
      </c>
      <c r="N25" s="236"/>
      <c r="U25" s="75"/>
      <c r="V25" s="77"/>
      <c r="W25" s="24"/>
      <c r="X25" s="24"/>
      <c r="Y25" s="75"/>
      <c r="Z25" s="77"/>
      <c r="AA25" s="24"/>
    </row>
    <row r="26" spans="1:27" ht="15" customHeight="1" x14ac:dyDescent="0.25">
      <c r="A26" s="236"/>
      <c r="C26" s="92" t="s">
        <v>67</v>
      </c>
      <c r="D26" s="204"/>
      <c r="E26" s="27" t="s">
        <v>118</v>
      </c>
      <c r="F26" s="198"/>
      <c r="G26" s="160" t="s">
        <v>121</v>
      </c>
      <c r="H26" s="84" t="str">
        <f>IF(F26="","",F26)</f>
        <v/>
      </c>
      <c r="J26" s="212" t="s">
        <v>361</v>
      </c>
      <c r="K26" s="176" t="str">
        <f>IFERROR(F26/D25,"")</f>
        <v/>
      </c>
      <c r="L26" s="216" t="str">
        <f>IF(K26&lt;=2,"N/A",IF(AND(K26&lt;=3.504,K26&gt;2),IF($L$24="2bs/h",(2*D25)/F26,1.25-(0.125*K26)),""))</f>
        <v/>
      </c>
      <c r="N26" s="236"/>
      <c r="U26" s="75"/>
      <c r="V26" s="77"/>
      <c r="W26" s="24"/>
      <c r="X26" s="24"/>
      <c r="Y26" s="75"/>
      <c r="Z26" s="77"/>
      <c r="AA26" s="24"/>
    </row>
    <row r="27" spans="1:27" ht="15" customHeight="1" x14ac:dyDescent="0.25">
      <c r="A27" s="236"/>
      <c r="C27" s="92" t="s">
        <v>69</v>
      </c>
      <c r="D27" s="196"/>
      <c r="E27" s="27" t="s">
        <v>127</v>
      </c>
      <c r="F27" s="198"/>
      <c r="G27" s="160" t="s">
        <v>119</v>
      </c>
      <c r="H27" s="84" t="str">
        <f>IF(F27="","",F27)</f>
        <v/>
      </c>
      <c r="J27" s="212" t="s">
        <v>362</v>
      </c>
      <c r="K27" s="176" t="str">
        <f>IFERROR(F26/D26,"")</f>
        <v/>
      </c>
      <c r="L27" s="216" t="str">
        <f>IF(K27&lt;=2,"N/A",IF(AND(K27&lt;=3.504,K27&gt;2),IF($L$24="2bs/h",(2*D26)/F26,1.25-(0.125*K27)),""))</f>
        <v/>
      </c>
      <c r="N27" s="236"/>
      <c r="U27" s="75"/>
      <c r="V27" s="77"/>
      <c r="W27" s="24"/>
      <c r="X27" s="24"/>
      <c r="Y27" s="75"/>
      <c r="Z27" s="77"/>
      <c r="AA27" s="24"/>
    </row>
    <row r="28" spans="1:27" ht="15" customHeight="1" x14ac:dyDescent="0.35">
      <c r="A28" s="236"/>
      <c r="C28" s="27" t="s">
        <v>63</v>
      </c>
      <c r="D28" s="84" t="str">
        <f>IF(F25="","",SUM(F25:F27))</f>
        <v/>
      </c>
      <c r="E28" s="92" t="s">
        <v>66</v>
      </c>
      <c r="F28" s="198"/>
      <c r="G28" s="155" t="s">
        <v>68</v>
      </c>
      <c r="H28" s="198"/>
      <c r="J28" s="212" t="s">
        <v>363</v>
      </c>
      <c r="K28" s="176" t="str">
        <f>IFERROR(H26/D27,"")</f>
        <v/>
      </c>
      <c r="L28" s="216" t="str">
        <f>IF(K28&lt;=2,"N/A",IF(AND(K28&lt;=3.504,K28&gt;2),IF($L$24="2bs/h",(2*D27)/H26,1.25-(0.125*K28)),""))</f>
        <v/>
      </c>
      <c r="N28" s="236"/>
      <c r="U28" s="24"/>
      <c r="V28" s="24"/>
      <c r="W28" s="24"/>
      <c r="X28" s="24"/>
      <c r="Y28" s="24"/>
      <c r="Z28" s="24"/>
      <c r="AA28" s="24"/>
    </row>
    <row r="29" spans="1:27" ht="15" customHeight="1" x14ac:dyDescent="0.35">
      <c r="A29" s="236"/>
      <c r="C29" s="92" t="s">
        <v>78</v>
      </c>
      <c r="D29" s="84" t="str">
        <f>IF(D25="","",D25+D26+D27+F28+H28)</f>
        <v/>
      </c>
      <c r="E29" s="24"/>
      <c r="J29" s="249" t="str">
        <f>IF(MAX(K26:K28)&gt;3.5,"No Good. Aspect Ratios &gt; 3.5","")</f>
        <v/>
      </c>
      <c r="K29" s="249"/>
      <c r="L29" s="249"/>
      <c r="M29" s="149"/>
      <c r="N29" s="236"/>
      <c r="U29" s="24"/>
      <c r="V29" s="24"/>
      <c r="W29" s="24"/>
    </row>
    <row r="30" spans="1:27" ht="15" customHeight="1" x14ac:dyDescent="0.25">
      <c r="A30" s="236"/>
      <c r="N30" s="236"/>
      <c r="U30" s="24"/>
      <c r="V30" s="24"/>
      <c r="W30" s="24"/>
    </row>
    <row r="31" spans="1:27" ht="15" customHeight="1" x14ac:dyDescent="0.35">
      <c r="A31" s="236"/>
      <c r="C31" s="78" t="s">
        <v>356</v>
      </c>
      <c r="D31" s="78"/>
      <c r="E31" s="78"/>
      <c r="F31" s="78"/>
      <c r="G31" s="127" t="str">
        <f>IFERROR(D24*D28/D29,"")</f>
        <v/>
      </c>
      <c r="H31" s="43"/>
      <c r="I31" s="89" t="s">
        <v>1</v>
      </c>
      <c r="J31" s="5"/>
      <c r="K31" s="5"/>
      <c r="L31" s="5"/>
      <c r="N31" s="236"/>
      <c r="U31" s="24"/>
      <c r="V31" s="24"/>
      <c r="W31" s="24"/>
    </row>
    <row r="32" spans="1:27" ht="15" customHeight="1" x14ac:dyDescent="0.25">
      <c r="A32" s="236"/>
      <c r="C32" s="46" t="s">
        <v>4</v>
      </c>
      <c r="D32" s="46"/>
      <c r="E32" s="46"/>
      <c r="F32" s="46"/>
      <c r="G32" s="88"/>
      <c r="I32" s="278" t="s">
        <v>91</v>
      </c>
      <c r="J32" s="278"/>
      <c r="K32" s="278"/>
      <c r="L32" s="86" t="str">
        <f>IFERROR(((D24/D29)*(D25+G47))/D25,"")</f>
        <v/>
      </c>
      <c r="N32" s="236"/>
      <c r="U32" s="24"/>
      <c r="V32" s="24"/>
      <c r="W32" s="24"/>
    </row>
    <row r="33" spans="1:23" ht="15" customHeight="1" x14ac:dyDescent="0.25">
      <c r="A33" s="236"/>
      <c r="C33" s="278" t="s">
        <v>131</v>
      </c>
      <c r="D33" s="278"/>
      <c r="E33" s="278"/>
      <c r="F33" s="278"/>
      <c r="G33" s="87" t="str">
        <f>IF(D24=0,"",IF(OR(F25=0,F27=0),"N/A",G31/(F25+F27)))</f>
        <v/>
      </c>
      <c r="I33" s="275" t="s">
        <v>92</v>
      </c>
      <c r="J33" s="275"/>
      <c r="K33" s="275"/>
      <c r="L33" s="86" t="str">
        <f>IFERROR(((D24/D29)*(D26+G48+G49))/D26,"")</f>
        <v/>
      </c>
      <c r="N33" s="236"/>
      <c r="U33" s="24"/>
      <c r="V33" s="24"/>
      <c r="W33" s="24"/>
    </row>
    <row r="34" spans="1:23" ht="15" customHeight="1" x14ac:dyDescent="0.25">
      <c r="A34" s="236"/>
      <c r="C34" s="275" t="s">
        <v>132</v>
      </c>
      <c r="D34" s="275"/>
      <c r="E34" s="275"/>
      <c r="F34" s="275"/>
      <c r="G34" s="87" t="str">
        <f>IF(D24=0,"",IF(OR(F25=0,F27=0),"N/A",G31/(H25+H27)))</f>
        <v/>
      </c>
      <c r="I34" s="275" t="s">
        <v>171</v>
      </c>
      <c r="J34" s="275"/>
      <c r="K34" s="275"/>
      <c r="L34" s="86" t="str">
        <f>IFERROR(((D24/D29)*(G50+D27))/D27,"")</f>
        <v/>
      </c>
      <c r="N34" s="236"/>
      <c r="U34" s="24"/>
      <c r="V34" s="24"/>
      <c r="W34" s="24"/>
    </row>
    <row r="35" spans="1:23" ht="15" customHeight="1" x14ac:dyDescent="0.25">
      <c r="A35" s="236"/>
      <c r="C35" s="275"/>
      <c r="D35" s="275"/>
      <c r="E35" s="275"/>
      <c r="F35" s="275"/>
      <c r="G35" s="87"/>
      <c r="I35" s="275" t="s">
        <v>172</v>
      </c>
      <c r="J35" s="275"/>
      <c r="K35" s="275"/>
      <c r="L35" s="127" t="str">
        <f>IFERROR(L32*$D$25+L33*$D$26+L34*$D$27,"")</f>
        <v/>
      </c>
      <c r="M35" s="73" t="str">
        <f>IF(D24=0,"",IF(L35=D24,"OK","NO GOOD"))</f>
        <v/>
      </c>
      <c r="N35" s="236"/>
      <c r="U35" s="24"/>
      <c r="V35" s="24"/>
      <c r="W35" s="24"/>
    </row>
    <row r="36" spans="1:23" ht="15" customHeight="1" x14ac:dyDescent="0.25">
      <c r="A36" s="236"/>
      <c r="C36" s="46" t="s">
        <v>0</v>
      </c>
      <c r="D36" s="46"/>
      <c r="E36" s="46"/>
      <c r="F36" s="46"/>
      <c r="G36" s="5"/>
      <c r="H36" s="74"/>
      <c r="N36" s="236"/>
      <c r="U36" s="24"/>
      <c r="V36" s="24"/>
      <c r="W36" s="24"/>
    </row>
    <row r="37" spans="1:23" ht="15" customHeight="1" x14ac:dyDescent="0.25">
      <c r="A37" s="236"/>
      <c r="F37" s="92" t="s">
        <v>105</v>
      </c>
      <c r="G37" s="127" t="str">
        <f>IFERROR(G33*F28,"")</f>
        <v/>
      </c>
      <c r="I37" s="89" t="s">
        <v>2</v>
      </c>
      <c r="J37" s="5"/>
      <c r="K37" s="5"/>
      <c r="L37" s="5"/>
      <c r="N37" s="236"/>
      <c r="U37" s="24"/>
      <c r="V37" s="24"/>
      <c r="W37" s="24"/>
    </row>
    <row r="38" spans="1:23" ht="15" customHeight="1" x14ac:dyDescent="0.25">
      <c r="A38" s="236"/>
      <c r="F38" s="92" t="s">
        <v>106</v>
      </c>
      <c r="G38" s="127" t="str">
        <f>IFERROR(G34*H28,"")</f>
        <v/>
      </c>
      <c r="J38" s="92"/>
      <c r="K38" s="92" t="s">
        <v>369</v>
      </c>
      <c r="L38" s="127" t="str">
        <f>IFERROR(L32*D25,"")</f>
        <v/>
      </c>
      <c r="N38" s="236"/>
      <c r="U38" s="24"/>
      <c r="V38" s="24"/>
      <c r="W38" s="24"/>
    </row>
    <row r="39" spans="1:23" ht="15" customHeight="1" x14ac:dyDescent="0.25">
      <c r="A39" s="236"/>
      <c r="F39" s="92"/>
      <c r="G39" s="83"/>
      <c r="H39" s="43"/>
      <c r="J39" s="92"/>
      <c r="K39" s="92" t="s">
        <v>368</v>
      </c>
      <c r="L39" s="127" t="str">
        <f>IFERROR(L33*D26,"")</f>
        <v/>
      </c>
      <c r="N39" s="236"/>
      <c r="U39" s="24"/>
      <c r="V39" s="24"/>
      <c r="W39" s="24"/>
    </row>
    <row r="40" spans="1:23" ht="15" customHeight="1" x14ac:dyDescent="0.25">
      <c r="A40" s="236"/>
      <c r="C40" s="46" t="s">
        <v>354</v>
      </c>
      <c r="D40" s="46"/>
      <c r="E40" s="46"/>
      <c r="F40" s="46"/>
      <c r="G40" s="5"/>
      <c r="H40" s="43"/>
      <c r="J40" s="92"/>
      <c r="K40" s="92" t="s">
        <v>367</v>
      </c>
      <c r="L40" s="127" t="str">
        <f>IFERROR(L34*D27,"")</f>
        <v/>
      </c>
      <c r="N40" s="236"/>
      <c r="U40" s="24"/>
      <c r="V40" s="24"/>
      <c r="W40" s="24"/>
    </row>
    <row r="41" spans="1:23" ht="15" customHeight="1" x14ac:dyDescent="0.25">
      <c r="A41" s="236"/>
      <c r="F41" s="92" t="s">
        <v>72</v>
      </c>
      <c r="G41" s="127" t="str">
        <f>IFERROR((G37*D25)/(D25+D26),"")</f>
        <v/>
      </c>
      <c r="H41" s="43"/>
      <c r="J41" s="92"/>
      <c r="K41" s="92"/>
      <c r="L41" s="83"/>
      <c r="N41" s="236"/>
      <c r="U41" s="24"/>
      <c r="V41" s="24"/>
      <c r="W41" s="24"/>
    </row>
    <row r="42" spans="1:23" ht="15" customHeight="1" x14ac:dyDescent="0.25">
      <c r="A42" s="236"/>
      <c r="F42" s="92" t="s">
        <v>73</v>
      </c>
      <c r="G42" s="127" t="str">
        <f>IFERROR(G37*D26/(D25+D26),"")</f>
        <v/>
      </c>
      <c r="I42" s="89" t="s">
        <v>355</v>
      </c>
      <c r="J42" s="5"/>
      <c r="K42" s="5"/>
      <c r="L42" s="5"/>
      <c r="N42" s="236"/>
      <c r="U42" s="24"/>
      <c r="V42" s="24"/>
      <c r="W42" s="24"/>
    </row>
    <row r="43" spans="1:23" ht="15" customHeight="1" x14ac:dyDescent="0.25">
      <c r="A43" s="236"/>
      <c r="F43" s="92" t="s">
        <v>74</v>
      </c>
      <c r="G43" s="127" t="str">
        <f>IFERROR(G38*D26/(D26+D27),"")</f>
        <v/>
      </c>
      <c r="J43" s="92"/>
      <c r="K43" s="92" t="s">
        <v>101</v>
      </c>
      <c r="L43" s="127" t="str">
        <f>IFERROR(L38-G41,"")</f>
        <v/>
      </c>
      <c r="N43" s="236"/>
      <c r="U43" s="24"/>
      <c r="V43" s="24"/>
      <c r="W43" s="24"/>
    </row>
    <row r="44" spans="1:23" ht="15" customHeight="1" x14ac:dyDescent="0.25">
      <c r="A44" s="236"/>
      <c r="F44" s="92" t="s">
        <v>75</v>
      </c>
      <c r="G44" s="127" t="str">
        <f>IFERROR(G38*D27/(D26+D27),"")</f>
        <v/>
      </c>
      <c r="H44" s="43"/>
      <c r="J44" s="92"/>
      <c r="K44" s="92" t="s">
        <v>102</v>
      </c>
      <c r="L44" s="127" t="str">
        <f>IFERROR(L39-G42-G43,"")</f>
        <v/>
      </c>
      <c r="N44" s="236"/>
      <c r="U44" s="24"/>
      <c r="V44" s="24"/>
      <c r="W44" s="24"/>
    </row>
    <row r="45" spans="1:23" ht="15" customHeight="1" x14ac:dyDescent="0.25">
      <c r="A45" s="236"/>
      <c r="F45" s="92"/>
      <c r="G45" s="83"/>
      <c r="H45" s="43"/>
      <c r="J45" s="92"/>
      <c r="K45" s="92" t="s">
        <v>173</v>
      </c>
      <c r="L45" s="127" t="str">
        <f>IFERROR(L40-G44,"")</f>
        <v/>
      </c>
      <c r="N45" s="236"/>
      <c r="U45" s="24"/>
      <c r="V45" s="24"/>
      <c r="W45" s="24"/>
    </row>
    <row r="46" spans="1:23" ht="15" customHeight="1" x14ac:dyDescent="0.25">
      <c r="A46" s="236"/>
      <c r="C46" s="46" t="s">
        <v>128</v>
      </c>
      <c r="D46" s="46"/>
      <c r="E46" s="46"/>
      <c r="F46" s="46"/>
      <c r="G46" s="5"/>
      <c r="H46" s="43"/>
      <c r="J46" s="92"/>
      <c r="K46" s="92"/>
      <c r="L46" s="83"/>
      <c r="N46" s="236"/>
      <c r="O46" s="3"/>
      <c r="P46" s="4"/>
      <c r="Q46" s="4"/>
      <c r="R46" s="4"/>
      <c r="S46" s="4"/>
      <c r="U46" s="24"/>
      <c r="V46" s="24"/>
      <c r="W46" s="24"/>
    </row>
    <row r="47" spans="1:23" ht="15" customHeight="1" x14ac:dyDescent="0.25">
      <c r="A47" s="236"/>
      <c r="F47" s="92" t="s">
        <v>95</v>
      </c>
      <c r="G47" s="85" t="str">
        <f>IFERROR(D25*F28/(D25+D26),"")</f>
        <v/>
      </c>
      <c r="H47" s="43"/>
      <c r="I47" s="89" t="s">
        <v>3</v>
      </c>
      <c r="J47" s="5"/>
      <c r="K47" s="5"/>
      <c r="L47" s="5"/>
      <c r="N47" s="236"/>
      <c r="O47" s="3"/>
      <c r="P47" s="4"/>
      <c r="Q47" s="4"/>
      <c r="R47" s="4"/>
      <c r="S47" s="4"/>
      <c r="U47" s="24"/>
      <c r="V47" s="24"/>
      <c r="W47" s="24"/>
    </row>
    <row r="48" spans="1:23" ht="15" customHeight="1" x14ac:dyDescent="0.25">
      <c r="A48" s="236"/>
      <c r="F48" s="92" t="s">
        <v>96</v>
      </c>
      <c r="G48" s="85" t="str">
        <f>IFERROR(D26*F28/(D25+D26),"")</f>
        <v/>
      </c>
      <c r="H48" s="43"/>
      <c r="J48" s="92"/>
      <c r="K48" s="92" t="s">
        <v>111</v>
      </c>
      <c r="L48" s="86" t="str">
        <f>IFERROR(L43/D25,"")</f>
        <v/>
      </c>
      <c r="N48" s="236"/>
      <c r="U48" s="24"/>
      <c r="V48" s="75"/>
      <c r="W48" s="76"/>
    </row>
    <row r="49" spans="1:23" ht="15" customHeight="1" x14ac:dyDescent="0.25">
      <c r="A49" s="236"/>
      <c r="F49" s="92" t="s">
        <v>97</v>
      </c>
      <c r="G49" s="85" t="str">
        <f>IFERROR(D26*H28/(D26+D27),"")</f>
        <v/>
      </c>
      <c r="H49" s="43"/>
      <c r="J49" s="92"/>
      <c r="K49" s="92" t="s">
        <v>112</v>
      </c>
      <c r="L49" s="86" t="str">
        <f>IFERROR(L44/D26,"")</f>
        <v/>
      </c>
      <c r="N49" s="236"/>
      <c r="U49" s="24"/>
      <c r="V49" s="24"/>
      <c r="W49" s="24"/>
    </row>
    <row r="50" spans="1:23" ht="15" customHeight="1" x14ac:dyDescent="0.25">
      <c r="A50" s="236"/>
      <c r="F50" s="92" t="s">
        <v>98</v>
      </c>
      <c r="G50" s="85" t="str">
        <f>IFERROR(D27*H28/(D26+D27),"")</f>
        <v/>
      </c>
      <c r="J50" s="92"/>
      <c r="K50" s="92" t="s">
        <v>174</v>
      </c>
      <c r="L50" s="86" t="str">
        <f>IFERROR(L45/D27,"")</f>
        <v/>
      </c>
      <c r="N50" s="236"/>
      <c r="U50" s="24"/>
      <c r="V50" s="24"/>
      <c r="W50" s="24"/>
    </row>
    <row r="51" spans="1:23" ht="15" customHeight="1" x14ac:dyDescent="0.25">
      <c r="A51" s="236"/>
      <c r="F51" s="92"/>
      <c r="G51" s="85"/>
      <c r="H51" s="43"/>
      <c r="N51" s="236"/>
      <c r="O51" s="1"/>
      <c r="U51" s="24"/>
      <c r="V51" s="24"/>
      <c r="W51" s="24"/>
    </row>
    <row r="52" spans="1:23" ht="15" customHeight="1" x14ac:dyDescent="0.25">
      <c r="A52" s="236"/>
      <c r="H52" s="43"/>
      <c r="J52" s="94"/>
      <c r="K52" s="93"/>
      <c r="L52" s="91"/>
      <c r="N52" s="236"/>
      <c r="U52" s="24"/>
      <c r="V52" s="24"/>
      <c r="W52" s="24"/>
    </row>
    <row r="53" spans="1:23" ht="15" customHeight="1" x14ac:dyDescent="0.25">
      <c r="A53" s="236"/>
      <c r="N53" s="236"/>
    </row>
    <row r="54" spans="1:23" ht="15" customHeight="1" x14ac:dyDescent="0.25">
      <c r="A54" s="236"/>
      <c r="N54" s="236"/>
    </row>
    <row r="55" spans="1:23" ht="15" customHeight="1" x14ac:dyDescent="0.25">
      <c r="A55" s="236"/>
      <c r="N55" s="236"/>
      <c r="T55" s="80"/>
      <c r="U55" s="80"/>
      <c r="V55" s="80"/>
      <c r="W55" s="79"/>
    </row>
    <row r="56" spans="1:23" ht="15" customHeight="1" x14ac:dyDescent="0.25">
      <c r="A56" s="236"/>
      <c r="N56" s="236"/>
      <c r="T56" s="80"/>
      <c r="U56" s="80"/>
      <c r="V56" s="80"/>
      <c r="W56" s="79"/>
    </row>
    <row r="57" spans="1:23" ht="15" customHeight="1" x14ac:dyDescent="0.25">
      <c r="A57" s="236"/>
      <c r="N57" s="236"/>
      <c r="T57" s="80"/>
      <c r="U57" s="80"/>
      <c r="V57" s="80"/>
      <c r="W57" s="79"/>
    </row>
    <row r="58" spans="1:23" ht="15" customHeight="1" x14ac:dyDescent="0.25">
      <c r="A58" s="236"/>
      <c r="K58" s="92"/>
      <c r="N58" s="236"/>
      <c r="T58" s="80"/>
      <c r="U58" s="80"/>
      <c r="V58" s="80"/>
      <c r="W58" s="79"/>
    </row>
    <row r="59" spans="1:23" ht="15" customHeight="1" x14ac:dyDescent="0.25">
      <c r="A59" s="236"/>
      <c r="N59" s="236"/>
      <c r="T59" s="80"/>
      <c r="U59" s="80"/>
      <c r="V59" s="80"/>
      <c r="W59" s="21"/>
    </row>
    <row r="60" spans="1:23" ht="15" customHeight="1" x14ac:dyDescent="0.25">
      <c r="A60" s="236"/>
      <c r="N60" s="236"/>
      <c r="T60" s="80"/>
      <c r="U60" s="80"/>
      <c r="V60" s="80"/>
      <c r="W60" s="79"/>
    </row>
    <row r="61" spans="1:23" ht="15" customHeight="1" x14ac:dyDescent="0.25">
      <c r="A61" s="236"/>
      <c r="N61" s="236"/>
      <c r="T61" s="21"/>
      <c r="U61" s="21"/>
      <c r="V61" s="21"/>
      <c r="W61" s="79"/>
    </row>
    <row r="62" spans="1:23" ht="15" customHeight="1" x14ac:dyDescent="0.25">
      <c r="A62" s="236"/>
      <c r="N62" s="236"/>
      <c r="S62" s="21"/>
      <c r="T62" s="21"/>
      <c r="U62" s="21"/>
      <c r="V62" s="21"/>
      <c r="W62" s="21"/>
    </row>
    <row r="63" spans="1:23" ht="15" customHeight="1" x14ac:dyDescent="0.25">
      <c r="A63" s="236"/>
      <c r="N63" s="236"/>
      <c r="S63" s="21"/>
      <c r="T63" s="21"/>
      <c r="U63" s="21"/>
      <c r="V63" s="21"/>
      <c r="W63" s="21"/>
    </row>
    <row r="64" spans="1:23" ht="15.75" customHeight="1" thickBot="1" x14ac:dyDescent="0.3">
      <c r="A64" s="236"/>
      <c r="B64" s="53" t="s">
        <v>80</v>
      </c>
      <c r="D64" s="53"/>
      <c r="E64" s="53"/>
      <c r="F64" s="53"/>
      <c r="G64" s="53"/>
      <c r="H64" s="53"/>
      <c r="I64" s="53"/>
      <c r="N64" s="236"/>
      <c r="S64" s="21"/>
      <c r="T64" s="21"/>
      <c r="U64" s="21"/>
      <c r="V64" s="21"/>
      <c r="W64" s="21"/>
    </row>
    <row r="65" spans="1:23" ht="15" customHeight="1" x14ac:dyDescent="0.25">
      <c r="A65" s="236"/>
      <c r="B65" s="47" t="s">
        <v>115</v>
      </c>
      <c r="C65" s="48"/>
      <c r="D65" s="48"/>
      <c r="E65" s="48"/>
      <c r="F65" s="48"/>
      <c r="G65" s="48"/>
      <c r="H65" s="48"/>
      <c r="I65" s="48"/>
      <c r="J65" s="48"/>
      <c r="K65" s="50" t="str">
        <f>IFERROR($L$48*($F$25+$F$27),"")</f>
        <v/>
      </c>
      <c r="L65" s="50" t="str">
        <f>IFERROR($L$32*($F$26),"")</f>
        <v/>
      </c>
      <c r="M65" s="128" t="str">
        <f>IFERROR(L65+K65,"")</f>
        <v/>
      </c>
      <c r="N65" s="236"/>
      <c r="S65" s="21"/>
      <c r="T65" s="21"/>
      <c r="U65" s="21"/>
      <c r="V65" s="21"/>
      <c r="W65" s="21"/>
    </row>
    <row r="66" spans="1:23" ht="15" customHeight="1" x14ac:dyDescent="0.25">
      <c r="A66" s="236"/>
      <c r="B66" s="49" t="s">
        <v>116</v>
      </c>
      <c r="C66" s="3"/>
      <c r="D66" s="3"/>
      <c r="E66" s="3"/>
      <c r="F66" s="3"/>
      <c r="G66" s="3"/>
      <c r="H66" s="3"/>
      <c r="I66" s="3"/>
      <c r="J66" s="23" t="str">
        <f>IFERROR($G$33*($F$25+$F$27),"")</f>
        <v/>
      </c>
      <c r="K66" s="23" t="str">
        <f>IFERROR($L$48*($F$25+$F$27),"")</f>
        <v/>
      </c>
      <c r="L66" s="23" t="str">
        <f>IFERROR($L$32*$F$26,"")</f>
        <v/>
      </c>
      <c r="M66" s="90" t="str">
        <f>IFERROR(J66-K66-L66,"")</f>
        <v/>
      </c>
      <c r="N66" s="236"/>
      <c r="S66" s="21"/>
      <c r="T66" s="21"/>
      <c r="U66" s="21"/>
      <c r="V66" s="21"/>
      <c r="W66" s="21"/>
    </row>
    <row r="67" spans="1:23" ht="15" customHeight="1" x14ac:dyDescent="0.25">
      <c r="A67" s="236"/>
      <c r="B67" s="49" t="s">
        <v>134</v>
      </c>
      <c r="C67" s="3"/>
      <c r="D67" s="3"/>
      <c r="E67" s="3"/>
      <c r="F67" s="3"/>
      <c r="G67" s="3"/>
      <c r="H67" s="3"/>
      <c r="I67" s="23"/>
      <c r="J67" s="23" t="str">
        <f>IFERROR($L$49*($F$25+$F$27),"")</f>
        <v/>
      </c>
      <c r="K67" s="23" t="str">
        <f>IFERROR($L$33*($F$26),"")</f>
        <v/>
      </c>
      <c r="L67" s="23" t="str">
        <f>IFERROR($G$33*($F$25+$F$27),"")</f>
        <v/>
      </c>
      <c r="M67" s="90" t="str">
        <f>IFERROR(J67+K67-L67,"")</f>
        <v/>
      </c>
      <c r="N67" s="236"/>
      <c r="S67" s="21"/>
      <c r="T67" s="21"/>
      <c r="U67" s="21"/>
      <c r="V67" s="21"/>
      <c r="W67" s="21"/>
    </row>
    <row r="68" spans="1:23" ht="15" customHeight="1" x14ac:dyDescent="0.25">
      <c r="A68" s="236"/>
      <c r="B68" s="49" t="s">
        <v>135</v>
      </c>
      <c r="C68" s="3"/>
      <c r="D68" s="3"/>
      <c r="E68" s="3"/>
      <c r="F68" s="3"/>
      <c r="G68" s="3"/>
      <c r="H68" s="3"/>
      <c r="I68" s="23"/>
      <c r="J68" s="23" t="str">
        <f>IFERROR($G$34*($H$25+$H$27),"")</f>
        <v/>
      </c>
      <c r="K68" s="23" t="str">
        <f>IFERROR($L$33*($H$26),"")</f>
        <v/>
      </c>
      <c r="L68" s="23" t="str">
        <f>IFERROR($L$49*($H$25+$H$27),"")</f>
        <v/>
      </c>
      <c r="M68" s="90" t="str">
        <f>IFERROR(I68+J68-K68-L68,"")</f>
        <v/>
      </c>
      <c r="N68" s="236"/>
      <c r="S68" s="21"/>
      <c r="T68" s="21"/>
      <c r="U68" s="21"/>
      <c r="V68" s="21"/>
      <c r="W68" s="21"/>
    </row>
    <row r="69" spans="1:23" ht="15" customHeight="1" x14ac:dyDescent="0.25">
      <c r="A69" s="236"/>
      <c r="B69" s="49" t="s">
        <v>126</v>
      </c>
      <c r="C69" s="3"/>
      <c r="D69" s="3"/>
      <c r="E69" s="3"/>
      <c r="F69" s="3"/>
      <c r="G69" s="3"/>
      <c r="H69" s="3"/>
      <c r="I69" s="3"/>
      <c r="J69" s="23" t="str">
        <f>IFERROR($G$34*($H$25+$H$27),"")</f>
        <v/>
      </c>
      <c r="K69" s="23" t="str">
        <f>IFERROR($L$50*($H$25+$H$27),"")</f>
        <v/>
      </c>
      <c r="L69" s="23" t="str">
        <f>IFERROR($L$34*$H$26,"")</f>
        <v/>
      </c>
      <c r="M69" s="90" t="str">
        <f>IFERROR(J69-K69-L69,"")</f>
        <v/>
      </c>
      <c r="N69" s="236"/>
      <c r="S69" s="21"/>
      <c r="T69" s="21"/>
      <c r="U69" s="21"/>
      <c r="V69" s="21"/>
      <c r="W69" s="21"/>
    </row>
    <row r="70" spans="1:23" ht="15.75" customHeight="1" thickBot="1" x14ac:dyDescent="0.3">
      <c r="A70" s="236"/>
      <c r="B70" s="9" t="s">
        <v>125</v>
      </c>
      <c r="C70" s="8"/>
      <c r="D70" s="8"/>
      <c r="E70" s="8"/>
      <c r="F70" s="8"/>
      <c r="G70" s="8"/>
      <c r="H70" s="8"/>
      <c r="I70" s="8"/>
      <c r="J70" s="8"/>
      <c r="K70" s="51" t="str">
        <f>IFERROR($L$50*($H$25+$H$27),"")</f>
        <v/>
      </c>
      <c r="L70" s="51" t="str">
        <f>IFERROR($L$34*$H$26,"")</f>
        <v/>
      </c>
      <c r="M70" s="129" t="str">
        <f>IFERROR(K70+L70,"")</f>
        <v/>
      </c>
      <c r="N70" s="236"/>
      <c r="S70" s="21"/>
      <c r="T70" s="21"/>
      <c r="U70" s="21"/>
      <c r="V70" s="21"/>
      <c r="W70" s="21"/>
    </row>
    <row r="71" spans="1:23" ht="15" customHeight="1" x14ac:dyDescent="0.25">
      <c r="A71" s="236"/>
      <c r="N71" s="236"/>
      <c r="S71" s="21"/>
      <c r="T71" s="21"/>
      <c r="U71" s="21"/>
      <c r="V71" s="21"/>
      <c r="W71" s="21"/>
    </row>
    <row r="72" spans="1:23" ht="21.75" customHeight="1" thickBot="1" x14ac:dyDescent="0.4">
      <c r="A72" s="236"/>
      <c r="B72" s="276" t="s">
        <v>137</v>
      </c>
      <c r="C72" s="276"/>
      <c r="D72" s="276"/>
      <c r="E72" s="276"/>
      <c r="F72" s="276"/>
      <c r="G72" s="276"/>
      <c r="H72" s="276"/>
      <c r="I72" s="276"/>
      <c r="J72" s="276"/>
      <c r="K72" s="276"/>
      <c r="L72" s="276"/>
      <c r="M72" s="276"/>
      <c r="N72" s="236"/>
    </row>
    <row r="73" spans="1:23" ht="15" customHeight="1" x14ac:dyDescent="0.25">
      <c r="A73" s="236"/>
      <c r="B73" s="262" t="s">
        <v>164</v>
      </c>
      <c r="C73" s="262"/>
      <c r="D73" s="262"/>
      <c r="E73" s="178" t="str">
        <f>IFERROR(IF(G33="N/A","N/A",MAX(IF(L26="N/A",L32,L32*(1/L26)),IF(L27="N/A",L33,L33*(1/L27)),IF(L28="N/A",L34,L34*(1/L28)),G33:G34,ABS(L48),ABS(L49),ABS(L50))),"")</f>
        <v/>
      </c>
      <c r="F73" s="262" t="s">
        <v>138</v>
      </c>
      <c r="G73" s="262"/>
      <c r="H73" s="277"/>
      <c r="I73" s="142" t="str">
        <f>IFERROR(L120,"")</f>
        <v/>
      </c>
      <c r="J73" s="282" t="s">
        <v>139</v>
      </c>
      <c r="K73" s="262"/>
      <c r="L73" s="277"/>
      <c r="M73" s="143" t="str">
        <f>IFERROR(J152,"")</f>
        <v/>
      </c>
      <c r="N73" s="236"/>
    </row>
    <row r="74" spans="1:23" ht="15.75" customHeight="1" thickBot="1" x14ac:dyDescent="0.3">
      <c r="A74" s="236"/>
      <c r="B74" s="262" t="s">
        <v>90</v>
      </c>
      <c r="C74" s="262"/>
      <c r="D74" s="262"/>
      <c r="E74" s="130" t="str">
        <f>IF(G41="","",MAX(G41:G44))</f>
        <v/>
      </c>
      <c r="F74" s="262" t="s">
        <v>140</v>
      </c>
      <c r="G74" s="262"/>
      <c r="H74" s="277"/>
      <c r="I74" s="97" t="str">
        <f>IFERROR(L121,"")</f>
        <v/>
      </c>
      <c r="J74" s="261" t="s">
        <v>141</v>
      </c>
      <c r="K74" s="261"/>
      <c r="L74" s="277"/>
      <c r="M74" s="97" t="str">
        <f>IFERROR(J153,"")</f>
        <v/>
      </c>
      <c r="N74" s="236"/>
    </row>
    <row r="75" spans="1:23" ht="15.75" customHeight="1" x14ac:dyDescent="0.25">
      <c r="A75" s="236"/>
      <c r="B75" s="261" t="s">
        <v>89</v>
      </c>
      <c r="C75" s="261"/>
      <c r="D75" s="262"/>
      <c r="E75" s="208" t="str">
        <f>G31</f>
        <v/>
      </c>
      <c r="I75" s="118" t="s">
        <v>157</v>
      </c>
      <c r="J75" s="118"/>
      <c r="K75" s="119"/>
      <c r="L75" s="119"/>
      <c r="M75" s="117" t="s">
        <v>158</v>
      </c>
      <c r="N75" s="236"/>
    </row>
    <row r="76" spans="1:23" ht="15" customHeight="1" thickBot="1" x14ac:dyDescent="0.3">
      <c r="A76" s="236"/>
      <c r="B76" s="263" t="s">
        <v>420</v>
      </c>
      <c r="C76" s="263"/>
      <c r="D76" s="263"/>
      <c r="E76" s="209" t="str">
        <f>IFERROR(D24/D29,"")</f>
        <v/>
      </c>
      <c r="F76" s="3"/>
      <c r="G76" s="264" t="str">
        <f>IF(E73="","",IF(E73&gt;MAX(G33:G34,L32:L34),"Req. Sheathing Capacity has been adjusted per the Aspect Ratio Factor in SDPWS 4.3.4.2",""))</f>
        <v/>
      </c>
      <c r="H76" s="264"/>
      <c r="I76" s="264"/>
      <c r="J76" s="264"/>
      <c r="K76" s="264"/>
      <c r="L76" s="264"/>
      <c r="M76" s="264"/>
      <c r="N76" s="236"/>
    </row>
    <row r="77" spans="1:23" ht="15" customHeight="1" x14ac:dyDescent="0.25">
      <c r="A77" s="236"/>
      <c r="B77" s="231"/>
      <c r="C77" s="231"/>
      <c r="D77" s="231"/>
      <c r="E77" s="234"/>
      <c r="F77" s="3"/>
      <c r="G77" s="264" t="str">
        <f>IFERROR(IF($C$139="N/A","Sheathing and Nail Type are not a valid combination. Please review Nail Type input.",""),"")</f>
        <v/>
      </c>
      <c r="H77" s="264"/>
      <c r="I77" s="264"/>
      <c r="J77" s="264"/>
      <c r="K77" s="264"/>
      <c r="L77" s="264"/>
      <c r="M77" s="264"/>
      <c r="N77" s="236"/>
    </row>
    <row r="78" spans="1:23" ht="15" customHeight="1" x14ac:dyDescent="0.25">
      <c r="A78" s="236"/>
      <c r="B78" s="25"/>
      <c r="C78" s="3"/>
      <c r="D78" s="3"/>
      <c r="E78" s="3"/>
      <c r="F78" s="3"/>
      <c r="G78" s="287" t="str">
        <f>IFERROR(IF($C$101="N/A","Sheathing Composition is not valid. Please review Sheathing inputs.",""),"")</f>
        <v/>
      </c>
      <c r="H78" s="287"/>
      <c r="I78" s="287"/>
      <c r="J78" s="287"/>
      <c r="K78" s="287"/>
      <c r="L78" s="287"/>
      <c r="M78" s="287"/>
      <c r="N78" s="236"/>
    </row>
    <row r="79" spans="1:23" ht="15" customHeight="1" x14ac:dyDescent="0.25">
      <c r="A79" s="236"/>
      <c r="B79" s="232"/>
      <c r="C79" s="3"/>
      <c r="D79" s="3"/>
      <c r="E79" s="3"/>
      <c r="F79" s="3"/>
      <c r="G79" s="72"/>
      <c r="H79" s="72"/>
      <c r="I79" s="72"/>
      <c r="J79" s="72"/>
      <c r="K79" s="72"/>
      <c r="L79" s="72"/>
      <c r="M79" s="72"/>
      <c r="N79" s="236"/>
    </row>
    <row r="80" spans="1:23" ht="15.75" customHeight="1" thickBot="1" x14ac:dyDescent="0.3">
      <c r="A80" s="236"/>
      <c r="B80" s="259" t="s">
        <v>424</v>
      </c>
      <c r="C80" s="259"/>
      <c r="D80" s="259"/>
      <c r="E80" s="259"/>
      <c r="F80" s="8"/>
      <c r="G80" s="8"/>
      <c r="H80" s="8"/>
      <c r="I80" s="8"/>
      <c r="J80" s="8"/>
      <c r="K80" s="8"/>
      <c r="L80" s="8"/>
      <c r="M80" s="8"/>
      <c r="N80" s="236"/>
    </row>
    <row r="81" spans="1:15" ht="15" customHeight="1" x14ac:dyDescent="0.25">
      <c r="A81" s="236"/>
      <c r="B81" s="265" t="s">
        <v>33</v>
      </c>
      <c r="C81" s="265"/>
      <c r="D81" s="3"/>
      <c r="E81" s="3"/>
      <c r="F81" s="266" t="s">
        <v>147</v>
      </c>
      <c r="G81" s="266"/>
      <c r="H81" s="266"/>
      <c r="J81" s="54" t="s">
        <v>403</v>
      </c>
      <c r="K81" s="202"/>
      <c r="L81" s="3" t="s">
        <v>81</v>
      </c>
      <c r="M81" s="3"/>
      <c r="N81" s="236"/>
    </row>
    <row r="82" spans="1:15" ht="15" customHeight="1" x14ac:dyDescent="0.25">
      <c r="A82" s="236"/>
      <c r="B82" s="267"/>
      <c r="C82" s="267"/>
      <c r="D82" s="3" t="s">
        <v>154</v>
      </c>
      <c r="E82" s="3"/>
      <c r="F82" s="54" t="s">
        <v>186</v>
      </c>
      <c r="G82" s="268"/>
      <c r="H82" s="269"/>
      <c r="M82" s="3"/>
      <c r="N82" s="236"/>
    </row>
    <row r="83" spans="1:15" ht="15" customHeight="1" x14ac:dyDescent="0.25">
      <c r="A83" s="236"/>
      <c r="B83" s="270"/>
      <c r="C83" s="270"/>
      <c r="D83" s="103" t="s">
        <v>155</v>
      </c>
      <c r="E83" s="3"/>
      <c r="F83" s="54" t="s">
        <v>28</v>
      </c>
      <c r="G83" s="205"/>
      <c r="H83" s="3" t="s">
        <v>27</v>
      </c>
      <c r="K83" s="22" t="s">
        <v>83</v>
      </c>
      <c r="L83" s="26" t="s">
        <v>85</v>
      </c>
      <c r="M83" s="17"/>
      <c r="N83" s="236"/>
      <c r="O83" s="152" t="s">
        <v>84</v>
      </c>
    </row>
    <row r="84" spans="1:15" ht="15" customHeight="1" x14ac:dyDescent="0.25">
      <c r="A84" s="236"/>
      <c r="B84" s="271"/>
      <c r="C84" s="271"/>
      <c r="D84" s="3" t="s">
        <v>194</v>
      </c>
      <c r="E84" s="3"/>
      <c r="F84" s="54"/>
      <c r="G84" s="57" t="s">
        <v>188</v>
      </c>
      <c r="H84" s="17" t="s">
        <v>175</v>
      </c>
      <c r="J84" s="54" t="s">
        <v>43</v>
      </c>
      <c r="K84" s="200"/>
      <c r="L84" s="134" t="str">
        <f>IF(K84="","",K84)</f>
        <v/>
      </c>
      <c r="M84" s="3" t="s">
        <v>19</v>
      </c>
      <c r="N84" s="236"/>
      <c r="O84" s="125" t="str">
        <f>IF($K$84="","",$K$84)</f>
        <v/>
      </c>
    </row>
    <row r="85" spans="1:15" ht="15" customHeight="1" x14ac:dyDescent="0.25">
      <c r="A85" s="236"/>
      <c r="B85" s="272"/>
      <c r="C85" s="272"/>
      <c r="D85" s="3"/>
      <c r="E85" s="3"/>
      <c r="F85" s="141" t="s">
        <v>180</v>
      </c>
      <c r="G85" s="200"/>
      <c r="H85" s="200"/>
      <c r="J85" s="54" t="s">
        <v>53</v>
      </c>
      <c r="K85" s="200"/>
      <c r="L85" s="134" t="str">
        <f>IF(K85="","",K85)</f>
        <v/>
      </c>
      <c r="M85" s="3" t="s">
        <v>20</v>
      </c>
      <c r="N85" s="236"/>
      <c r="O85" s="230" t="str">
        <f>IF($K$85="","",$K$85)</f>
        <v/>
      </c>
    </row>
    <row r="86" spans="1:15" ht="17.25" customHeight="1" x14ac:dyDescent="0.25">
      <c r="A86" s="236"/>
      <c r="B86" s="273"/>
      <c r="C86" s="274"/>
      <c r="D86" s="24" t="s">
        <v>343</v>
      </c>
      <c r="E86" s="3"/>
      <c r="F86" s="54" t="s">
        <v>25</v>
      </c>
      <c r="G86" s="125" t="str">
        <f>IFERROR(VLOOKUP(H85,Table2[],2,FALSE)*G85,"")</f>
        <v/>
      </c>
      <c r="H86" s="3" t="s">
        <v>191</v>
      </c>
      <c r="J86" s="54" t="s">
        <v>352</v>
      </c>
      <c r="K86" s="200"/>
      <c r="L86" s="134" t="str">
        <f>IF(K86="","",K86)</f>
        <v/>
      </c>
      <c r="M86" s="3" t="s">
        <v>19</v>
      </c>
      <c r="N86" s="236"/>
      <c r="O86" s="125" t="str">
        <f>IF($K$86="","",$K$86)</f>
        <v/>
      </c>
    </row>
    <row r="87" spans="1:15" ht="17.25" customHeight="1" x14ac:dyDescent="0.25">
      <c r="A87" s="236"/>
      <c r="B87" s="273"/>
      <c r="C87" s="274"/>
      <c r="D87" s="24" t="s">
        <v>344</v>
      </c>
      <c r="E87" s="3"/>
      <c r="F87" s="141" t="s">
        <v>185</v>
      </c>
      <c r="G87" s="201"/>
      <c r="H87" t="s">
        <v>191</v>
      </c>
      <c r="N87" s="236"/>
    </row>
    <row r="88" spans="1:15" ht="15" customHeight="1" x14ac:dyDescent="0.25">
      <c r="A88" s="236"/>
      <c r="B88" s="65"/>
      <c r="C88" s="75"/>
      <c r="D88" s="24"/>
      <c r="E88" s="3"/>
      <c r="F88" s="3"/>
      <c r="G88" s="3"/>
      <c r="H88" s="17"/>
      <c r="I88" s="3"/>
      <c r="J88" s="3"/>
      <c r="K88" s="3"/>
      <c r="N88" s="236"/>
    </row>
    <row r="89" spans="1:15" ht="15.75" customHeight="1" thickBot="1" x14ac:dyDescent="0.3">
      <c r="A89" s="236"/>
      <c r="B89" s="259" t="s">
        <v>87</v>
      </c>
      <c r="C89" s="259"/>
      <c r="D89" s="259"/>
      <c r="E89" s="259"/>
      <c r="F89" s="259"/>
      <c r="G89" s="3"/>
      <c r="H89" s="24"/>
      <c r="I89" s="3"/>
      <c r="J89" s="3"/>
      <c r="N89" s="236"/>
    </row>
    <row r="90" spans="1:15" ht="15" customHeight="1" x14ac:dyDescent="0.25">
      <c r="A90" s="236"/>
      <c r="C90" s="3"/>
      <c r="D90" s="3"/>
      <c r="E90" s="3"/>
      <c r="F90" s="3"/>
      <c r="G90" s="3"/>
      <c r="H90" s="3"/>
      <c r="I90" s="3"/>
      <c r="J90" s="3"/>
      <c r="K90" s="3"/>
      <c r="N90" s="236"/>
    </row>
    <row r="91" spans="1:15" ht="15" customHeight="1" x14ac:dyDescent="0.25">
      <c r="A91" s="236"/>
      <c r="C91" s="3"/>
      <c r="D91" s="3"/>
      <c r="E91" s="3"/>
      <c r="F91" s="3"/>
      <c r="G91" s="3"/>
      <c r="H91" s="3"/>
      <c r="I91" s="3"/>
      <c r="J91" s="3"/>
      <c r="K91" s="3"/>
      <c r="N91" s="236"/>
    </row>
    <row r="92" spans="1:15" ht="15" customHeight="1" x14ac:dyDescent="0.25">
      <c r="A92" s="236"/>
      <c r="C92" s="3"/>
      <c r="D92" s="3"/>
      <c r="E92" s="3"/>
      <c r="F92" s="3"/>
      <c r="G92" s="3"/>
      <c r="H92" s="3"/>
      <c r="I92" s="3"/>
      <c r="J92" s="3"/>
      <c r="K92" s="3"/>
      <c r="N92" s="236"/>
    </row>
    <row r="93" spans="1:15" ht="15.75" customHeight="1" thickBot="1" x14ac:dyDescent="0.3">
      <c r="A93" s="236"/>
      <c r="C93" s="63" t="s">
        <v>37</v>
      </c>
      <c r="D93" s="64" t="s">
        <v>36</v>
      </c>
      <c r="E93" s="63" t="s">
        <v>35</v>
      </c>
      <c r="F93" s="64" t="s">
        <v>34</v>
      </c>
      <c r="G93" s="63" t="s">
        <v>50</v>
      </c>
      <c r="H93" s="64" t="s">
        <v>49</v>
      </c>
      <c r="I93" s="26"/>
      <c r="J93" s="26"/>
      <c r="K93" s="3"/>
      <c r="N93" s="236"/>
    </row>
    <row r="94" spans="1:15" ht="15.75" customHeight="1" thickTop="1" x14ac:dyDescent="0.25">
      <c r="A94" s="236"/>
      <c r="B94" s="2" t="s">
        <v>33</v>
      </c>
      <c r="C94" s="105" t="str">
        <f>IF($B$83="","",B83)</f>
        <v/>
      </c>
      <c r="D94" s="106" t="str">
        <f>IF($B$83="","",B83)</f>
        <v/>
      </c>
      <c r="E94" s="105" t="str">
        <f>IF($B$83="","",B83)</f>
        <v/>
      </c>
      <c r="F94" s="106" t="str">
        <f>IF($B$83="","",B83)</f>
        <v/>
      </c>
      <c r="G94" s="105" t="str">
        <f>IF($B$83="","",B83)</f>
        <v/>
      </c>
      <c r="H94" s="106" t="str">
        <f>IF($B$83="","",B83)</f>
        <v/>
      </c>
      <c r="I94" s="17"/>
      <c r="J94" s="260" t="str">
        <f>IFERROR(IF($C$101="N/A","Sheathing Composition is not valid. Please review Sheathing inputs.",""),"")</f>
        <v/>
      </c>
      <c r="K94" s="260"/>
      <c r="L94" s="260"/>
      <c r="N94" s="236"/>
    </row>
    <row r="95" spans="1:15" ht="15.75" customHeight="1" thickBot="1" x14ac:dyDescent="0.3">
      <c r="A95" s="236"/>
      <c r="B95" s="2" t="s">
        <v>32</v>
      </c>
      <c r="C95" s="36">
        <f t="shared" ref="C95:H95" si="0">$K$81</f>
        <v>0</v>
      </c>
      <c r="D95" s="35">
        <f t="shared" si="0"/>
        <v>0</v>
      </c>
      <c r="E95" s="36">
        <f t="shared" si="0"/>
        <v>0</v>
      </c>
      <c r="F95" s="35">
        <f t="shared" si="0"/>
        <v>0</v>
      </c>
      <c r="G95" s="36">
        <f t="shared" si="0"/>
        <v>0</v>
      </c>
      <c r="H95" s="35">
        <f t="shared" si="0"/>
        <v>0</v>
      </c>
      <c r="I95" s="17"/>
      <c r="J95" s="260"/>
      <c r="K95" s="260"/>
      <c r="L95" s="260"/>
      <c r="N95" s="236"/>
    </row>
    <row r="96" spans="1:15" ht="18" customHeight="1" x14ac:dyDescent="0.35">
      <c r="A96" s="236"/>
      <c r="B96" s="2" t="s">
        <v>31</v>
      </c>
      <c r="C96" s="55" t="str">
        <f>L32</f>
        <v/>
      </c>
      <c r="D96" s="32" t="str">
        <f>C96</f>
        <v/>
      </c>
      <c r="E96" s="55" t="str">
        <f>L33</f>
        <v/>
      </c>
      <c r="F96" s="32" t="str">
        <f>E96</f>
        <v/>
      </c>
      <c r="G96" s="55" t="str">
        <f>L34</f>
        <v/>
      </c>
      <c r="H96" s="32" t="str">
        <f>G96</f>
        <v/>
      </c>
      <c r="I96" s="41" t="s">
        <v>29</v>
      </c>
      <c r="J96" s="60"/>
      <c r="N96" s="236"/>
    </row>
    <row r="97" spans="1:14" ht="18" customHeight="1" x14ac:dyDescent="0.35">
      <c r="A97" s="236"/>
      <c r="B97" s="2" t="s">
        <v>30</v>
      </c>
      <c r="C97" s="55" t="str">
        <f t="shared" ref="C97:H97" si="1">IFERROR(C96/0.7,"")</f>
        <v/>
      </c>
      <c r="D97" s="32" t="str">
        <f t="shared" si="1"/>
        <v/>
      </c>
      <c r="E97" s="55" t="str">
        <f t="shared" si="1"/>
        <v/>
      </c>
      <c r="F97" s="32" t="str">
        <f t="shared" si="1"/>
        <v/>
      </c>
      <c r="G97" s="55" t="str">
        <f t="shared" si="1"/>
        <v/>
      </c>
      <c r="H97" s="32" t="str">
        <f t="shared" si="1"/>
        <v/>
      </c>
      <c r="I97" s="41" t="s">
        <v>29</v>
      </c>
      <c r="J97" s="60"/>
      <c r="N97" s="236"/>
    </row>
    <row r="98" spans="1:14" ht="15" customHeight="1" x14ac:dyDescent="0.25">
      <c r="A98" s="236"/>
      <c r="B98" s="2" t="s">
        <v>28</v>
      </c>
      <c r="C98" s="37" t="str">
        <f>IF($G$83="","",$G$83)</f>
        <v/>
      </c>
      <c r="D98" s="29" t="str">
        <f t="shared" ref="D98:H98" si="2">IF($G$83="","",$G$83)</f>
        <v/>
      </c>
      <c r="E98" s="37" t="str">
        <f t="shared" si="2"/>
        <v/>
      </c>
      <c r="F98" s="29" t="str">
        <f t="shared" si="2"/>
        <v/>
      </c>
      <c r="G98" s="37" t="str">
        <f t="shared" si="2"/>
        <v/>
      </c>
      <c r="H98" s="29" t="str">
        <f t="shared" si="2"/>
        <v/>
      </c>
      <c r="I98" s="41" t="s">
        <v>27</v>
      </c>
      <c r="J98" s="57"/>
      <c r="L98" s="21"/>
      <c r="M98" s="21"/>
      <c r="N98" s="236"/>
    </row>
    <row r="99" spans="1:14" ht="15" customHeight="1" x14ac:dyDescent="0.25">
      <c r="A99" s="236"/>
      <c r="B99" s="2" t="s">
        <v>26</v>
      </c>
      <c r="C99" s="38" t="str">
        <f>IF(D28="","",D28)</f>
        <v/>
      </c>
      <c r="D99" s="30" t="str">
        <f>IF(D28="","",D28-F27)</f>
        <v/>
      </c>
      <c r="E99" s="38" t="str">
        <f>$D$99</f>
        <v/>
      </c>
      <c r="F99" s="30" t="str">
        <f>$D$99</f>
        <v/>
      </c>
      <c r="G99" s="38" t="str">
        <f>$D$99</f>
        <v/>
      </c>
      <c r="H99" s="30" t="str">
        <f>C99</f>
        <v/>
      </c>
      <c r="I99" s="41" t="s">
        <v>21</v>
      </c>
      <c r="J99" s="58"/>
      <c r="L99" s="21"/>
      <c r="M99" s="21"/>
      <c r="N99" s="236"/>
    </row>
    <row r="100" spans="1:14" ht="17.25" customHeight="1" x14ac:dyDescent="0.25">
      <c r="A100" s="236"/>
      <c r="B100" s="2" t="s">
        <v>25</v>
      </c>
      <c r="C100" s="39" t="str">
        <f>IF($G$87="",$G$86,$G$87)</f>
        <v/>
      </c>
      <c r="D100" s="28" t="str">
        <f>$C$100</f>
        <v/>
      </c>
      <c r="E100" s="39" t="str">
        <f>$C$100</f>
        <v/>
      </c>
      <c r="F100" s="28" t="str">
        <f>$C$100</f>
        <v/>
      </c>
      <c r="G100" s="39" t="str">
        <f>$C$100</f>
        <v/>
      </c>
      <c r="H100" s="28" t="str">
        <f>$C$100</f>
        <v/>
      </c>
      <c r="I100" s="41" t="s">
        <v>191</v>
      </c>
      <c r="J100" s="17"/>
      <c r="M100" s="21"/>
      <c r="N100" s="236"/>
    </row>
    <row r="101" spans="1:14" ht="15" customHeight="1" x14ac:dyDescent="0.25">
      <c r="A101" s="236"/>
      <c r="B101" s="2" t="s">
        <v>45</v>
      </c>
      <c r="C101" s="40" t="str">
        <f>IF($B$86="",IF(B82="OSB",VLOOKUP(B82&amp;B83&amp;B84,Table11[],3,FALSE),IF(B82="Plywood",VLOOKUP(B82&amp;B83&amp;B84,Table11[],3,FALSE),"")),$B$86)</f>
        <v/>
      </c>
      <c r="D101" s="59" t="str">
        <f>$C$101</f>
        <v/>
      </c>
      <c r="E101" s="40" t="str">
        <f>$C$101</f>
        <v/>
      </c>
      <c r="F101" s="59" t="str">
        <f>$C$101</f>
        <v/>
      </c>
      <c r="G101" s="40" t="str">
        <f>$C$101</f>
        <v/>
      </c>
      <c r="H101" s="31" t="str">
        <f>$C$101</f>
        <v/>
      </c>
      <c r="I101" s="41" t="s">
        <v>44</v>
      </c>
      <c r="J101" s="59"/>
      <c r="M101" s="21"/>
      <c r="N101" s="236"/>
    </row>
    <row r="102" spans="1:14" ht="15" customHeight="1" x14ac:dyDescent="0.25">
      <c r="A102" s="236"/>
      <c r="B102" s="2" t="s">
        <v>43</v>
      </c>
      <c r="C102" s="39" t="str">
        <f>IF(K84="","",K84)</f>
        <v/>
      </c>
      <c r="D102" s="28" t="str">
        <f>C102</f>
        <v/>
      </c>
      <c r="E102" s="39" t="str">
        <f>IF($O$84="","",$O$84)</f>
        <v/>
      </c>
      <c r="F102" s="28" t="str">
        <f>E102</f>
        <v/>
      </c>
      <c r="G102" s="39" t="str">
        <f>IF(L84="","",L84)</f>
        <v/>
      </c>
      <c r="H102" s="28" t="str">
        <f>G102</f>
        <v/>
      </c>
      <c r="I102" s="41" t="s">
        <v>19</v>
      </c>
      <c r="J102" s="17"/>
      <c r="M102" s="21"/>
      <c r="N102" s="236"/>
    </row>
    <row r="103" spans="1:14" ht="15" customHeight="1" x14ac:dyDescent="0.25">
      <c r="A103" s="236"/>
      <c r="B103" s="2" t="s">
        <v>42</v>
      </c>
      <c r="C103" s="55" t="str">
        <f t="shared" ref="C103:H103" si="3">IFERROR(C97/(12/C102),"")</f>
        <v/>
      </c>
      <c r="D103" s="32" t="str">
        <f t="shared" si="3"/>
        <v/>
      </c>
      <c r="E103" s="55" t="str">
        <f t="shared" si="3"/>
        <v/>
      </c>
      <c r="F103" s="32" t="str">
        <f t="shared" si="3"/>
        <v/>
      </c>
      <c r="G103" s="55" t="str">
        <f t="shared" si="3"/>
        <v/>
      </c>
      <c r="H103" s="32" t="str">
        <f t="shared" si="3"/>
        <v/>
      </c>
      <c r="I103" s="41" t="s">
        <v>29</v>
      </c>
      <c r="J103" s="60"/>
      <c r="M103" s="21"/>
      <c r="N103" s="236"/>
    </row>
    <row r="104" spans="1:14" ht="15" customHeight="1" x14ac:dyDescent="0.25">
      <c r="A104" s="236"/>
      <c r="B104" s="2" t="s">
        <v>41</v>
      </c>
      <c r="C104" s="56" t="str">
        <f>IF(K81="","",IFERROR(IF(K81="8d common",(C103/616)^3.018,IF(K81="10d common",(C103/769)^3.276,"Fix")),""))</f>
        <v/>
      </c>
      <c r="D104" s="33" t="str">
        <f>C104</f>
        <v/>
      </c>
      <c r="E104" s="56" t="str">
        <f>IF(K81="","",IFERROR(IF(K81="8d common",(E103/616)^3.018,IF(K81="10d common",(E103/769)^3.276,"Fix")),""))</f>
        <v/>
      </c>
      <c r="F104" s="33" t="str">
        <f>E104</f>
        <v/>
      </c>
      <c r="G104" s="56" t="str">
        <f>IF(K81="","",IFERROR(IF(K81="8d common",(G103/616)^3.018,IF(K81="10d common",(G103/769)^3.276,"Fix")),""))</f>
        <v/>
      </c>
      <c r="H104" s="33" t="str">
        <f>G104</f>
        <v/>
      </c>
      <c r="I104" s="41" t="s">
        <v>19</v>
      </c>
      <c r="J104" s="61"/>
      <c r="M104" s="21"/>
      <c r="N104" s="236"/>
    </row>
    <row r="105" spans="1:14" ht="15" customHeight="1" x14ac:dyDescent="0.25">
      <c r="A105" s="236"/>
      <c r="B105" s="2" t="s">
        <v>22</v>
      </c>
      <c r="C105" s="38" t="str">
        <f>IF(D25="","",D25)</f>
        <v/>
      </c>
      <c r="D105" s="30" t="str">
        <f>C105</f>
        <v/>
      </c>
      <c r="E105" s="38" t="str">
        <f>IF(D26="","",D26)</f>
        <v/>
      </c>
      <c r="F105" s="30" t="str">
        <f>E105</f>
        <v/>
      </c>
      <c r="G105" s="38" t="str">
        <f>IF(D27="","",D27)</f>
        <v/>
      </c>
      <c r="H105" s="30" t="str">
        <f>G105</f>
        <v/>
      </c>
      <c r="I105" s="41" t="s">
        <v>21</v>
      </c>
      <c r="J105" s="58"/>
      <c r="M105" s="21"/>
      <c r="N105" s="236"/>
    </row>
    <row r="106" spans="1:14" ht="15" customHeight="1" x14ac:dyDescent="0.25">
      <c r="A106" s="236"/>
      <c r="B106" s="2" t="s">
        <v>53</v>
      </c>
      <c r="C106" s="39" t="str">
        <f>IF(K85="","",K85)</f>
        <v/>
      </c>
      <c r="D106" s="28" t="str">
        <f>C106</f>
        <v/>
      </c>
      <c r="E106" s="39" t="str">
        <f>$O$85</f>
        <v/>
      </c>
      <c r="F106" s="28" t="str">
        <f>E106</f>
        <v/>
      </c>
      <c r="G106" s="39" t="str">
        <f>L85</f>
        <v/>
      </c>
      <c r="H106" s="28" t="str">
        <f>G106</f>
        <v/>
      </c>
      <c r="I106" s="41" t="s">
        <v>20</v>
      </c>
      <c r="J106" s="17"/>
      <c r="M106" s="21"/>
      <c r="N106" s="236"/>
    </row>
    <row r="107" spans="1:14" ht="15" customHeight="1" x14ac:dyDescent="0.25">
      <c r="A107" s="236"/>
      <c r="B107" s="2" t="s">
        <v>48</v>
      </c>
      <c r="C107" s="62" t="str">
        <f>IF(K86="","",K86)</f>
        <v/>
      </c>
      <c r="D107" s="34" t="str">
        <f>C107</f>
        <v/>
      </c>
      <c r="E107" s="62" t="str">
        <f>$O$86</f>
        <v/>
      </c>
      <c r="F107" s="34" t="str">
        <f>E107</f>
        <v/>
      </c>
      <c r="G107" s="62" t="str">
        <f>L86</f>
        <v/>
      </c>
      <c r="H107" s="34" t="str">
        <f>G107</f>
        <v/>
      </c>
      <c r="I107" s="41" t="s">
        <v>19</v>
      </c>
      <c r="J107" s="17"/>
      <c r="M107" s="21"/>
      <c r="N107" s="236"/>
    </row>
    <row r="108" spans="1:14" ht="15" customHeight="1" x14ac:dyDescent="0.25">
      <c r="A108" s="236"/>
      <c r="M108" s="21"/>
      <c r="N108" s="236"/>
    </row>
    <row r="109" spans="1:14" ht="15.75" customHeight="1" thickBot="1" x14ac:dyDescent="0.3">
      <c r="A109" s="236"/>
      <c r="C109" s="6" t="s">
        <v>82</v>
      </c>
      <c r="M109" s="21"/>
      <c r="N109" s="236"/>
    </row>
    <row r="110" spans="1:14" ht="15" customHeight="1" x14ac:dyDescent="0.25">
      <c r="A110" s="236"/>
      <c r="C110" s="252" t="s">
        <v>18</v>
      </c>
      <c r="D110" s="253"/>
      <c r="E110" s="253"/>
      <c r="F110" s="254"/>
      <c r="G110" s="252" t="s">
        <v>17</v>
      </c>
      <c r="H110" s="253"/>
      <c r="I110" s="253"/>
      <c r="J110" s="254"/>
      <c r="N110" s="236"/>
    </row>
    <row r="111" spans="1:14" ht="15" customHeight="1" x14ac:dyDescent="0.25">
      <c r="A111" s="236"/>
      <c r="C111" s="20" t="s">
        <v>12</v>
      </c>
      <c r="D111" s="19" t="s">
        <v>11</v>
      </c>
      <c r="E111" s="19" t="s">
        <v>10</v>
      </c>
      <c r="F111" s="18" t="s">
        <v>40</v>
      </c>
      <c r="G111" s="20" t="s">
        <v>12</v>
      </c>
      <c r="H111" s="19" t="s">
        <v>11</v>
      </c>
      <c r="I111" s="19" t="s">
        <v>10</v>
      </c>
      <c r="J111" s="18" t="s">
        <v>40</v>
      </c>
      <c r="N111" s="236"/>
    </row>
    <row r="112" spans="1:14" ht="15" customHeight="1" x14ac:dyDescent="0.25">
      <c r="A112" s="236"/>
      <c r="C112" s="16" t="s">
        <v>8</v>
      </c>
      <c r="D112" s="15" t="s">
        <v>7</v>
      </c>
      <c r="E112" s="15" t="s">
        <v>353</v>
      </c>
      <c r="F112" s="14" t="s">
        <v>39</v>
      </c>
      <c r="G112" s="16" t="s">
        <v>8</v>
      </c>
      <c r="H112" s="15" t="s">
        <v>7</v>
      </c>
      <c r="I112" s="15" t="s">
        <v>353</v>
      </c>
      <c r="J112" s="14" t="s">
        <v>38</v>
      </c>
      <c r="N112" s="236"/>
    </row>
    <row r="113" spans="1:14" ht="15.75" customHeight="1" thickBot="1" x14ac:dyDescent="0.3">
      <c r="A113" s="236"/>
      <c r="C113" s="13" t="str">
        <f>IFERROR(8*C97*C99^3/(C98*C100*C105),"")</f>
        <v/>
      </c>
      <c r="D113" s="12" t="str">
        <f>IFERROR(C97*C99/(C101),"")</f>
        <v/>
      </c>
      <c r="E113" s="12" t="str">
        <f>IFERROR(0.75*C99*C104,"")</f>
        <v/>
      </c>
      <c r="F113" s="11" t="str">
        <f>IFERROR(C107*C97*C99/C106*(C99/C105),"")</f>
        <v/>
      </c>
      <c r="G113" s="13" t="str">
        <f>IFERROR(8*D97*D99^3/(D98*D100*D105),"")</f>
        <v/>
      </c>
      <c r="H113" s="12" t="str">
        <f>IFERROR(D97*D99/(D101),"")</f>
        <v/>
      </c>
      <c r="I113" s="12" t="str">
        <f>IFERROR(0.75*D99*D104,"")</f>
        <v/>
      </c>
      <c r="J113" s="11" t="str">
        <f>IFERROR(D107*D97*D99/D106*(D99/D105),"")</f>
        <v/>
      </c>
      <c r="N113" s="236"/>
    </row>
    <row r="114" spans="1:14" ht="15.75" customHeight="1" thickBot="1" x14ac:dyDescent="0.3">
      <c r="A114" s="236"/>
      <c r="C114" s="9"/>
      <c r="D114" s="8"/>
      <c r="E114" s="67" t="s">
        <v>16</v>
      </c>
      <c r="F114" s="7">
        <f>SUM(C113:F113)</f>
        <v>0</v>
      </c>
      <c r="G114" s="9"/>
      <c r="H114" s="8"/>
      <c r="I114" s="67" t="s">
        <v>16</v>
      </c>
      <c r="J114" s="7">
        <f>SUM(G113:J113)</f>
        <v>0</v>
      </c>
      <c r="N114" s="236"/>
    </row>
    <row r="115" spans="1:14" ht="15" customHeight="1" x14ac:dyDescent="0.25">
      <c r="A115" s="236"/>
      <c r="C115" s="252" t="s">
        <v>15</v>
      </c>
      <c r="D115" s="253"/>
      <c r="E115" s="253"/>
      <c r="F115" s="254"/>
      <c r="G115" s="252" t="s">
        <v>14</v>
      </c>
      <c r="H115" s="253"/>
      <c r="I115" s="253"/>
      <c r="J115" s="254"/>
      <c r="N115" s="236"/>
    </row>
    <row r="116" spans="1:14" ht="15" customHeight="1" x14ac:dyDescent="0.25">
      <c r="A116" s="236"/>
      <c r="C116" s="20" t="s">
        <v>12</v>
      </c>
      <c r="D116" s="19" t="s">
        <v>11</v>
      </c>
      <c r="E116" s="19" t="s">
        <v>10</v>
      </c>
      <c r="F116" s="18" t="s">
        <v>40</v>
      </c>
      <c r="G116" s="20" t="s">
        <v>12</v>
      </c>
      <c r="H116" s="19" t="s">
        <v>11</v>
      </c>
      <c r="I116" s="19" t="s">
        <v>10</v>
      </c>
      <c r="J116" s="18" t="s">
        <v>40</v>
      </c>
      <c r="N116" s="236"/>
    </row>
    <row r="117" spans="1:14" ht="15.75" customHeight="1" thickBot="1" x14ac:dyDescent="0.3">
      <c r="A117" s="236"/>
      <c r="C117" s="16" t="s">
        <v>8</v>
      </c>
      <c r="D117" s="15" t="s">
        <v>7</v>
      </c>
      <c r="E117" s="15" t="s">
        <v>353</v>
      </c>
      <c r="F117" s="14" t="s">
        <v>39</v>
      </c>
      <c r="G117" s="16" t="s">
        <v>8</v>
      </c>
      <c r="H117" s="15" t="s">
        <v>7</v>
      </c>
      <c r="I117" s="15" t="s">
        <v>353</v>
      </c>
      <c r="J117" s="14" t="s">
        <v>38</v>
      </c>
      <c r="N117" s="236"/>
    </row>
    <row r="118" spans="1:14" ht="15.75" customHeight="1" thickBot="1" x14ac:dyDescent="0.3">
      <c r="A118" s="236"/>
      <c r="C118" s="13" t="str">
        <f>IFERROR(8*E97*E99^3/(E98*E100*E105),"")</f>
        <v/>
      </c>
      <c r="D118" s="12" t="str">
        <f>IFERROR(E97*E99/(E101),"")</f>
        <v/>
      </c>
      <c r="E118" s="12" t="str">
        <f>IFERROR(0.75*E99*E104,"")</f>
        <v/>
      </c>
      <c r="F118" s="11" t="str">
        <f>IFERROR(E107*E97*E99/E106*(E99/E105),"")</f>
        <v/>
      </c>
      <c r="G118" s="13" t="str">
        <f>IFERROR(8*F97*F99^3/(F98*F100*F105),"")</f>
        <v/>
      </c>
      <c r="H118" s="12" t="str">
        <f>IFERROR(F97*F99/(F101),"")</f>
        <v/>
      </c>
      <c r="I118" s="12" t="str">
        <f>IFERROR(0.75*F99*F104,"")</f>
        <v/>
      </c>
      <c r="J118" s="11" t="str">
        <f>IFERROR(F107*F97*F99/F106*(F99/F105),"")</f>
        <v/>
      </c>
      <c r="L118" s="68" t="s">
        <v>13</v>
      </c>
      <c r="N118" s="236"/>
    </row>
    <row r="119" spans="1:14" ht="15.75" customHeight="1" thickBot="1" x14ac:dyDescent="0.3">
      <c r="A119" s="236"/>
      <c r="C119" s="9"/>
      <c r="D119" s="8"/>
      <c r="E119" s="67" t="s">
        <v>16</v>
      </c>
      <c r="F119" s="7">
        <f>SUM(C118:F118)</f>
        <v>0</v>
      </c>
      <c r="G119" s="9"/>
      <c r="H119" s="8"/>
      <c r="I119" s="67" t="s">
        <v>16</v>
      </c>
      <c r="J119" s="7">
        <f>SUM(G118:J118)</f>
        <v>0</v>
      </c>
      <c r="L119" s="69" t="s">
        <v>9</v>
      </c>
      <c r="N119" s="236"/>
    </row>
    <row r="120" spans="1:14" ht="15" customHeight="1" x14ac:dyDescent="0.25">
      <c r="A120" s="236"/>
      <c r="C120" s="252" t="s">
        <v>47</v>
      </c>
      <c r="D120" s="253"/>
      <c r="E120" s="253"/>
      <c r="F120" s="254"/>
      <c r="G120" s="252" t="s">
        <v>46</v>
      </c>
      <c r="H120" s="253"/>
      <c r="I120" s="253"/>
      <c r="J120" s="254"/>
      <c r="L120" s="70" t="str">
        <f>IF(J113="","",AVERAGE(F114,J114,F119,J119,F124,J124))</f>
        <v/>
      </c>
      <c r="M120" s="3" t="s">
        <v>19</v>
      </c>
      <c r="N120" s="236"/>
    </row>
    <row r="121" spans="1:14" ht="15.75" customHeight="1" thickBot="1" x14ac:dyDescent="0.3">
      <c r="A121" s="236"/>
      <c r="C121" s="20" t="s">
        <v>12</v>
      </c>
      <c r="D121" s="19" t="s">
        <v>11</v>
      </c>
      <c r="E121" s="19" t="s">
        <v>10</v>
      </c>
      <c r="F121" s="18" t="s">
        <v>40</v>
      </c>
      <c r="G121" s="20" t="s">
        <v>12</v>
      </c>
      <c r="H121" s="19" t="s">
        <v>11</v>
      </c>
      <c r="I121" s="19" t="s">
        <v>10</v>
      </c>
      <c r="J121" s="18" t="s">
        <v>40</v>
      </c>
      <c r="L121" s="71" t="str">
        <f>IFERROR(4*L120/(C99*12),"")</f>
        <v/>
      </c>
      <c r="M121" t="s">
        <v>6</v>
      </c>
      <c r="N121" s="236"/>
    </row>
    <row r="122" spans="1:14" ht="15" customHeight="1" x14ac:dyDescent="0.25">
      <c r="A122" s="236"/>
      <c r="C122" s="16" t="s">
        <v>8</v>
      </c>
      <c r="D122" s="15" t="s">
        <v>7</v>
      </c>
      <c r="E122" s="15" t="s">
        <v>353</v>
      </c>
      <c r="F122" s="14" t="s">
        <v>39</v>
      </c>
      <c r="G122" s="16" t="s">
        <v>8</v>
      </c>
      <c r="H122" s="15" t="s">
        <v>7</v>
      </c>
      <c r="I122" s="15" t="s">
        <v>353</v>
      </c>
      <c r="J122" s="14" t="s">
        <v>38</v>
      </c>
      <c r="N122" s="236"/>
    </row>
    <row r="123" spans="1:14" ht="15.75" customHeight="1" thickBot="1" x14ac:dyDescent="0.3">
      <c r="A123" s="236"/>
      <c r="C123" s="13" t="str">
        <f>IFERROR(8*G97*G99^3/(G98*G100*G105),"")</f>
        <v/>
      </c>
      <c r="D123" s="12" t="str">
        <f>IFERROR(G97*G99/(G101),"")</f>
        <v/>
      </c>
      <c r="E123" s="12" t="str">
        <f>IFERROR(0.75*G99*G104,"")</f>
        <v/>
      </c>
      <c r="F123" s="11" t="str">
        <f>IFERROR(G107*G97*G99/G106*(G99/G105),"")</f>
        <v/>
      </c>
      <c r="G123" s="13" t="str">
        <f>IFERROR(8*H97*H99^3/(H98*H100*H105),"")</f>
        <v/>
      </c>
      <c r="H123" s="12" t="str">
        <f>IFERROR(H97*H99/(H101),"")</f>
        <v/>
      </c>
      <c r="I123" s="12" t="str">
        <f>IFERROR(0.75*H99*H104,"")</f>
        <v/>
      </c>
      <c r="J123" s="11" t="str">
        <f>IFERROR(H107*H97*H99/H106*(H99/H105),"")</f>
        <v/>
      </c>
      <c r="N123" s="236"/>
    </row>
    <row r="124" spans="1:14" ht="15.75" customHeight="1" thickBot="1" x14ac:dyDescent="0.3">
      <c r="A124" s="236"/>
      <c r="C124" s="9"/>
      <c r="D124" s="8"/>
      <c r="E124" s="67" t="s">
        <v>16</v>
      </c>
      <c r="F124" s="7">
        <f>SUM(C123:F123)</f>
        <v>0</v>
      </c>
      <c r="G124" s="9"/>
      <c r="H124" s="8"/>
      <c r="I124" s="67" t="s">
        <v>16</v>
      </c>
      <c r="J124" s="7">
        <f>SUM(G123:J123)</f>
        <v>0</v>
      </c>
      <c r="N124" s="236"/>
    </row>
    <row r="125" spans="1:14" ht="15" customHeight="1" x14ac:dyDescent="0.25">
      <c r="A125" s="236"/>
      <c r="C125" s="3"/>
      <c r="D125" s="3"/>
      <c r="E125" s="27"/>
      <c r="F125" s="25"/>
      <c r="G125" s="3"/>
      <c r="H125" s="3"/>
      <c r="I125" s="27"/>
      <c r="J125" s="25"/>
      <c r="N125" s="236"/>
    </row>
    <row r="126" spans="1:14" ht="15" customHeight="1" x14ac:dyDescent="0.25">
      <c r="A126" s="236"/>
      <c r="J126" s="66"/>
      <c r="N126" s="236"/>
    </row>
    <row r="127" spans="1:14" ht="15.75" customHeight="1" thickBot="1" x14ac:dyDescent="0.3">
      <c r="A127" s="236"/>
      <c r="B127" s="259" t="s">
        <v>88</v>
      </c>
      <c r="C127" s="259"/>
      <c r="D127" s="259"/>
      <c r="E127" s="259"/>
      <c r="F127" s="259"/>
      <c r="N127" s="236"/>
    </row>
    <row r="128" spans="1:14" ht="15" customHeight="1" x14ac:dyDescent="0.25">
      <c r="A128" s="236"/>
      <c r="N128" s="236"/>
    </row>
    <row r="129" spans="1:14" ht="15" customHeight="1" x14ac:dyDescent="0.25">
      <c r="A129" s="236"/>
      <c r="N129" s="236"/>
    </row>
    <row r="130" spans="1:14" ht="15" customHeight="1" x14ac:dyDescent="0.25">
      <c r="A130" s="236"/>
      <c r="N130" s="236"/>
    </row>
    <row r="131" spans="1:14" ht="15.75" customHeight="1" thickBot="1" x14ac:dyDescent="0.3">
      <c r="A131" s="236"/>
      <c r="C131" s="63" t="s">
        <v>37</v>
      </c>
      <c r="D131" s="64" t="s">
        <v>36</v>
      </c>
      <c r="E131" s="63" t="s">
        <v>35</v>
      </c>
      <c r="F131" s="64" t="s">
        <v>34</v>
      </c>
      <c r="G131" s="63" t="s">
        <v>50</v>
      </c>
      <c r="H131" s="64" t="s">
        <v>49</v>
      </c>
      <c r="I131" s="26"/>
      <c r="J131" s="26"/>
      <c r="N131" s="236"/>
    </row>
    <row r="132" spans="1:14" ht="15.75" customHeight="1" thickTop="1" x14ac:dyDescent="0.25">
      <c r="A132" s="236"/>
      <c r="B132" s="2" t="s">
        <v>33</v>
      </c>
      <c r="C132" s="107" t="str">
        <f>IF($B$83="","",B83)</f>
        <v/>
      </c>
      <c r="D132" s="108" t="str">
        <f>IF($B$83="","",B83)</f>
        <v/>
      </c>
      <c r="E132" s="107" t="str">
        <f>IF($B$83="","",B83)</f>
        <v/>
      </c>
      <c r="F132" s="108" t="str">
        <f>IF($B$83="","",B83)</f>
        <v/>
      </c>
      <c r="G132" s="107" t="str">
        <f>IF($B$83="","",B83)</f>
        <v/>
      </c>
      <c r="H132" s="108" t="str">
        <f>IF($B$83="","",B83)</f>
        <v/>
      </c>
      <c r="I132" s="17"/>
      <c r="J132" s="260" t="str">
        <f>IFERROR(IF($C$139="N/A","Sheathing and Nail Type are not a valid combination. Please review Nail Type input.",""),"")</f>
        <v/>
      </c>
      <c r="K132" s="260"/>
      <c r="L132" s="260"/>
      <c r="N132" s="236"/>
    </row>
    <row r="133" spans="1:14" ht="15.75" customHeight="1" thickBot="1" x14ac:dyDescent="0.3">
      <c r="A133" s="236"/>
      <c r="B133" s="2" t="s">
        <v>32</v>
      </c>
      <c r="C133" s="36">
        <f t="shared" ref="C133:H133" si="4">$K$81</f>
        <v>0</v>
      </c>
      <c r="D133" s="35">
        <f t="shared" si="4"/>
        <v>0</v>
      </c>
      <c r="E133" s="36">
        <f t="shared" si="4"/>
        <v>0</v>
      </c>
      <c r="F133" s="35">
        <f t="shared" si="4"/>
        <v>0</v>
      </c>
      <c r="G133" s="36">
        <f t="shared" si="4"/>
        <v>0</v>
      </c>
      <c r="H133" s="35">
        <f t="shared" si="4"/>
        <v>0</v>
      </c>
      <c r="I133" s="17"/>
      <c r="J133" s="260"/>
      <c r="K133" s="260"/>
      <c r="L133" s="260"/>
      <c r="N133" s="236"/>
    </row>
    <row r="134" spans="1:14" ht="18" customHeight="1" x14ac:dyDescent="0.35">
      <c r="A134" s="236"/>
      <c r="B134" s="2" t="s">
        <v>31</v>
      </c>
      <c r="C134" s="55" t="str">
        <f>L32</f>
        <v/>
      </c>
      <c r="D134" s="32" t="str">
        <f>C134</f>
        <v/>
      </c>
      <c r="E134" s="55" t="str">
        <f>L33</f>
        <v/>
      </c>
      <c r="F134" s="32" t="str">
        <f>E134</f>
        <v/>
      </c>
      <c r="G134" s="55" t="str">
        <f>L34</f>
        <v/>
      </c>
      <c r="H134" s="32" t="str">
        <f>G134</f>
        <v/>
      </c>
      <c r="I134" s="41" t="s">
        <v>29</v>
      </c>
      <c r="J134" s="260"/>
      <c r="K134" s="260"/>
      <c r="L134" s="260"/>
      <c r="N134" s="236"/>
    </row>
    <row r="135" spans="1:14" ht="18" customHeight="1" x14ac:dyDescent="0.35">
      <c r="A135" s="236"/>
      <c r="B135" s="2" t="s">
        <v>30</v>
      </c>
      <c r="C135" s="55" t="str">
        <f t="shared" ref="C135:H135" si="5">IFERROR(C134/0.7,"")</f>
        <v/>
      </c>
      <c r="D135" s="32" t="str">
        <f t="shared" si="5"/>
        <v/>
      </c>
      <c r="E135" s="55" t="str">
        <f t="shared" si="5"/>
        <v/>
      </c>
      <c r="F135" s="32" t="str">
        <f t="shared" si="5"/>
        <v/>
      </c>
      <c r="G135" s="55" t="str">
        <f t="shared" si="5"/>
        <v/>
      </c>
      <c r="H135" s="32" t="str">
        <f t="shared" si="5"/>
        <v/>
      </c>
      <c r="I135" s="41" t="s">
        <v>29</v>
      </c>
      <c r="J135" s="60"/>
      <c r="N135" s="236"/>
    </row>
    <row r="136" spans="1:14" ht="15" customHeight="1" x14ac:dyDescent="0.25">
      <c r="A136" s="236"/>
      <c r="B136" s="2" t="s">
        <v>28</v>
      </c>
      <c r="C136" s="37" t="str">
        <f>IF($G$83="","",$G$83)</f>
        <v/>
      </c>
      <c r="D136" s="29" t="str">
        <f t="shared" ref="D136:H136" si="6">IF($G$83="","",$G$83)</f>
        <v/>
      </c>
      <c r="E136" s="37" t="str">
        <f t="shared" si="6"/>
        <v/>
      </c>
      <c r="F136" s="29" t="str">
        <f t="shared" si="6"/>
        <v/>
      </c>
      <c r="G136" s="37" t="str">
        <f t="shared" si="6"/>
        <v/>
      </c>
      <c r="H136" s="29" t="str">
        <f t="shared" si="6"/>
        <v/>
      </c>
      <c r="I136" s="41" t="s">
        <v>27</v>
      </c>
      <c r="J136" s="57"/>
      <c r="N136" s="236"/>
    </row>
    <row r="137" spans="1:14" ht="15" customHeight="1" x14ac:dyDescent="0.25">
      <c r="A137" s="236"/>
      <c r="B137" s="2" t="s">
        <v>26</v>
      </c>
      <c r="C137" s="38" t="str">
        <f>D28</f>
        <v/>
      </c>
      <c r="D137" s="30" t="str">
        <f>IF(D28="","",D28-F27)</f>
        <v/>
      </c>
      <c r="E137" s="38" t="str">
        <f>D137</f>
        <v/>
      </c>
      <c r="F137" s="30" t="str">
        <f>D137</f>
        <v/>
      </c>
      <c r="G137" s="38" t="str">
        <f>D137</f>
        <v/>
      </c>
      <c r="H137" s="30" t="str">
        <f>C137</f>
        <v/>
      </c>
      <c r="I137" s="41" t="s">
        <v>21</v>
      </c>
      <c r="J137" s="58"/>
      <c r="N137" s="236"/>
    </row>
    <row r="138" spans="1:14" ht="17.25" customHeight="1" x14ac:dyDescent="0.25">
      <c r="A138" s="236"/>
      <c r="B138" s="2" t="s">
        <v>25</v>
      </c>
      <c r="C138" s="39" t="str">
        <f>IF($G$87="",$G$86,$G$87)</f>
        <v/>
      </c>
      <c r="D138" s="28" t="str">
        <f>$C$100</f>
        <v/>
      </c>
      <c r="E138" s="39" t="str">
        <f>$C$100</f>
        <v/>
      </c>
      <c r="F138" s="28" t="str">
        <f>$C$100</f>
        <v/>
      </c>
      <c r="G138" s="39" t="str">
        <f>$C$100</f>
        <v/>
      </c>
      <c r="H138" s="28" t="str">
        <f>$C$100</f>
        <v/>
      </c>
      <c r="I138" s="41" t="s">
        <v>191</v>
      </c>
      <c r="J138" s="17"/>
      <c r="N138" s="236"/>
    </row>
    <row r="139" spans="1:14" ht="15" customHeight="1" x14ac:dyDescent="0.25">
      <c r="A139" s="236"/>
      <c r="B139" s="2" t="s">
        <v>24</v>
      </c>
      <c r="C139" s="113" t="str">
        <f>IF($B$87="",IF(B82="OSB",VLOOKUP(B82&amp;B83&amp;B84&amp;K81&amp;K84,Table1113[],3,FALSE),IF(B82="Plywood",VLOOKUP(B82&amp;B83&amp;B84&amp;K81&amp;K84,Table1113[],3,FALSE),"")),$B$87)</f>
        <v/>
      </c>
      <c r="D139" s="114" t="str">
        <f>C139</f>
        <v/>
      </c>
      <c r="E139" s="113" t="str">
        <f>C139</f>
        <v/>
      </c>
      <c r="F139" s="114" t="str">
        <f>C139</f>
        <v/>
      </c>
      <c r="G139" s="113" t="str">
        <f>C139</f>
        <v/>
      </c>
      <c r="H139" s="114" t="str">
        <f>C139</f>
        <v/>
      </c>
      <c r="I139" s="41" t="s">
        <v>23</v>
      </c>
      <c r="J139" s="59"/>
      <c r="N139" s="236"/>
    </row>
    <row r="140" spans="1:14" ht="15" customHeight="1" x14ac:dyDescent="0.25">
      <c r="A140" s="236"/>
      <c r="B140" s="2" t="s">
        <v>22</v>
      </c>
      <c r="C140" s="38" t="str">
        <f>IF(D25="","",D25)</f>
        <v/>
      </c>
      <c r="D140" s="30" t="str">
        <f>C140</f>
        <v/>
      </c>
      <c r="E140" s="38" t="str">
        <f>IF(D26="","",D26)</f>
        <v/>
      </c>
      <c r="F140" s="30" t="str">
        <f>E140</f>
        <v/>
      </c>
      <c r="G140" s="38" t="str">
        <f>IF(D27="","",D27)</f>
        <v/>
      </c>
      <c r="H140" s="30" t="str">
        <f>G140</f>
        <v/>
      </c>
      <c r="I140" s="41" t="s">
        <v>21</v>
      </c>
      <c r="J140" s="58"/>
      <c r="L140" s="23"/>
      <c r="M140" s="23"/>
      <c r="N140" s="236"/>
    </row>
    <row r="141" spans="1:14" ht="15" customHeight="1" x14ac:dyDescent="0.25">
      <c r="A141" s="236"/>
      <c r="B141" s="2" t="s">
        <v>53</v>
      </c>
      <c r="C141" s="39" t="str">
        <f>IF($K$85="","",$K$85)</f>
        <v/>
      </c>
      <c r="D141" s="28" t="str">
        <f>C141</f>
        <v/>
      </c>
      <c r="E141" s="39" t="str">
        <f>$O$85</f>
        <v/>
      </c>
      <c r="F141" s="28" t="str">
        <f>E141</f>
        <v/>
      </c>
      <c r="G141" s="39" t="str">
        <f>L85</f>
        <v/>
      </c>
      <c r="H141" s="28" t="str">
        <f>G141</f>
        <v/>
      </c>
      <c r="I141" s="41" t="s">
        <v>20</v>
      </c>
      <c r="J141" s="17"/>
      <c r="N141" s="236"/>
    </row>
    <row r="142" spans="1:14" ht="15" customHeight="1" x14ac:dyDescent="0.25">
      <c r="A142" s="236"/>
      <c r="B142" s="2" t="s">
        <v>48</v>
      </c>
      <c r="C142" s="62" t="str">
        <f>IF($K$86="","",$K$86)</f>
        <v/>
      </c>
      <c r="D142" s="34" t="str">
        <f>C142</f>
        <v/>
      </c>
      <c r="E142" s="62" t="str">
        <f>$O$86</f>
        <v/>
      </c>
      <c r="F142" s="34" t="str">
        <f>E142</f>
        <v/>
      </c>
      <c r="G142" s="62" t="str">
        <f>L86</f>
        <v/>
      </c>
      <c r="H142" s="34" t="str">
        <f>G142</f>
        <v/>
      </c>
      <c r="I142" s="41" t="s">
        <v>19</v>
      </c>
      <c r="J142" s="17"/>
      <c r="N142" s="236"/>
    </row>
    <row r="143" spans="1:14" ht="15" customHeight="1" x14ac:dyDescent="0.25">
      <c r="A143" s="236"/>
      <c r="N143" s="236"/>
    </row>
    <row r="144" spans="1:14" ht="15.75" customHeight="1" thickBot="1" x14ac:dyDescent="0.3">
      <c r="A144" s="236"/>
      <c r="C144" s="6" t="s">
        <v>82</v>
      </c>
      <c r="N144" s="236"/>
    </row>
    <row r="145" spans="1:14" ht="15" customHeight="1" x14ac:dyDescent="0.25">
      <c r="A145" s="236"/>
      <c r="C145" s="252" t="s">
        <v>18</v>
      </c>
      <c r="D145" s="253"/>
      <c r="E145" s="254"/>
      <c r="F145" s="252" t="s">
        <v>17</v>
      </c>
      <c r="G145" s="253"/>
      <c r="H145" s="254"/>
      <c r="N145" s="236"/>
    </row>
    <row r="146" spans="1:14" ht="15" customHeight="1" x14ac:dyDescent="0.25">
      <c r="A146" s="236"/>
      <c r="C146" s="20" t="s">
        <v>12</v>
      </c>
      <c r="D146" s="19" t="s">
        <v>11</v>
      </c>
      <c r="E146" s="19" t="s">
        <v>10</v>
      </c>
      <c r="F146" s="20" t="s">
        <v>12</v>
      </c>
      <c r="G146" s="19" t="s">
        <v>11</v>
      </c>
      <c r="H146" s="18" t="s">
        <v>10</v>
      </c>
      <c r="N146" s="236"/>
    </row>
    <row r="147" spans="1:14" ht="15" customHeight="1" x14ac:dyDescent="0.25">
      <c r="A147" s="236"/>
      <c r="C147" s="16" t="s">
        <v>8</v>
      </c>
      <c r="D147" s="15" t="s">
        <v>7</v>
      </c>
      <c r="E147" s="15" t="s">
        <v>353</v>
      </c>
      <c r="F147" s="16" t="s">
        <v>8</v>
      </c>
      <c r="G147" s="15" t="s">
        <v>7</v>
      </c>
      <c r="H147" s="14" t="s">
        <v>353</v>
      </c>
      <c r="N147" s="236"/>
    </row>
    <row r="148" spans="1:14" ht="15.75" customHeight="1" thickBot="1" x14ac:dyDescent="0.3">
      <c r="A148" s="236"/>
      <c r="C148" s="13" t="str">
        <f>IFERROR(8*C135*C137^3/(C136*C138*C140),"")</f>
        <v/>
      </c>
      <c r="D148" s="12" t="str">
        <f>IFERROR(C135*C137/(C139*1000),"")</f>
        <v/>
      </c>
      <c r="E148" s="11" t="str">
        <f>IFERROR(C142*C135*C137/C141*(C137/C140),"")</f>
        <v/>
      </c>
      <c r="F148" s="13" t="str">
        <f>IFERROR(8*D135*D137^3/(D136*D138*D140),"")</f>
        <v/>
      </c>
      <c r="G148" s="12" t="str">
        <f>IFERROR(D135*D137/(D139*1000),"")</f>
        <v/>
      </c>
      <c r="H148" s="11" t="str">
        <f>IFERROR(D142*D135*D137/D141*(D137/D140),"")</f>
        <v/>
      </c>
      <c r="N148" s="236"/>
    </row>
    <row r="149" spans="1:14" ht="15.75" customHeight="1" thickBot="1" x14ac:dyDescent="0.3">
      <c r="A149" s="236"/>
      <c r="C149" s="10"/>
      <c r="D149" s="67" t="s">
        <v>16</v>
      </c>
      <c r="E149" s="7">
        <f>SUM(C148:E148)</f>
        <v>0</v>
      </c>
      <c r="F149" s="9"/>
      <c r="G149" s="67" t="s">
        <v>16</v>
      </c>
      <c r="H149" s="7">
        <f>SUM(F148:H148)</f>
        <v>0</v>
      </c>
      <c r="N149" s="236"/>
    </row>
    <row r="150" spans="1:14" ht="15" customHeight="1" x14ac:dyDescent="0.25">
      <c r="A150" s="236"/>
      <c r="C150" s="252" t="s">
        <v>15</v>
      </c>
      <c r="D150" s="253"/>
      <c r="E150" s="254"/>
      <c r="F150" s="252" t="s">
        <v>14</v>
      </c>
      <c r="G150" s="253"/>
      <c r="H150" s="254"/>
      <c r="J150" s="68" t="s">
        <v>13</v>
      </c>
      <c r="N150" s="236"/>
    </row>
    <row r="151" spans="1:14" ht="15" customHeight="1" x14ac:dyDescent="0.25">
      <c r="A151" s="236"/>
      <c r="C151" s="20" t="s">
        <v>12</v>
      </c>
      <c r="D151" s="19" t="s">
        <v>11</v>
      </c>
      <c r="E151" s="19" t="s">
        <v>10</v>
      </c>
      <c r="F151" s="20" t="s">
        <v>12</v>
      </c>
      <c r="G151" s="19" t="s">
        <v>11</v>
      </c>
      <c r="H151" s="18" t="s">
        <v>10</v>
      </c>
      <c r="J151" s="69" t="s">
        <v>9</v>
      </c>
      <c r="N151" s="236"/>
    </row>
    <row r="152" spans="1:14" ht="15" customHeight="1" x14ac:dyDescent="0.25">
      <c r="A152" s="236"/>
      <c r="C152" s="16" t="s">
        <v>8</v>
      </c>
      <c r="D152" s="15" t="s">
        <v>7</v>
      </c>
      <c r="E152" s="15" t="s">
        <v>353</v>
      </c>
      <c r="F152" s="16" t="s">
        <v>8</v>
      </c>
      <c r="G152" s="15" t="s">
        <v>7</v>
      </c>
      <c r="H152" s="14" t="s">
        <v>353</v>
      </c>
      <c r="J152" s="70" t="str">
        <f>IF(H148="","",AVERAGE(E149,H149,E154,H154,E159,H159))</f>
        <v/>
      </c>
      <c r="K152" s="3" t="s">
        <v>19</v>
      </c>
      <c r="N152" s="236"/>
    </row>
    <row r="153" spans="1:14" ht="15.75" customHeight="1" thickBot="1" x14ac:dyDescent="0.3">
      <c r="A153" s="236"/>
      <c r="C153" s="13" t="str">
        <f>IFERROR(8*E135*E137^3/(E136*E138*E140),"")</f>
        <v/>
      </c>
      <c r="D153" s="12" t="str">
        <f>IFERROR(E135*E137/(E139*1000),"")</f>
        <v/>
      </c>
      <c r="E153" s="11" t="str">
        <f>IFERROR(E142*E135*E137/E141*(E137/E140),"")</f>
        <v/>
      </c>
      <c r="F153" s="13" t="str">
        <f>IFERROR(8*F135*F137^3/(F136*F138*F140),"")</f>
        <v/>
      </c>
      <c r="G153" s="12" t="str">
        <f>IFERROR(F135*F137/(F139*1000),"")</f>
        <v/>
      </c>
      <c r="H153" s="11" t="str">
        <f>IFERROR(F142*F135*F137/F141*(F137/F140),"")</f>
        <v/>
      </c>
      <c r="J153" s="71" t="str">
        <f>IFERROR(4*J152/(C137*12),"")</f>
        <v/>
      </c>
      <c r="K153" t="s">
        <v>6</v>
      </c>
      <c r="L153" s="17"/>
      <c r="N153" s="236"/>
    </row>
    <row r="154" spans="1:14" ht="15.75" customHeight="1" thickBot="1" x14ac:dyDescent="0.3">
      <c r="A154" s="236"/>
      <c r="C154" s="10"/>
      <c r="D154" s="67" t="s">
        <v>16</v>
      </c>
      <c r="E154" s="7">
        <f>SUM(C153:E153)</f>
        <v>0</v>
      </c>
      <c r="F154" s="9"/>
      <c r="G154" s="67" t="s">
        <v>16</v>
      </c>
      <c r="H154" s="7">
        <f>SUM(F153:H153)</f>
        <v>0</v>
      </c>
      <c r="L154" s="17"/>
      <c r="N154" s="236"/>
    </row>
    <row r="155" spans="1:14" ht="15" customHeight="1" x14ac:dyDescent="0.25">
      <c r="A155" s="236"/>
      <c r="C155" s="252" t="s">
        <v>47</v>
      </c>
      <c r="D155" s="253"/>
      <c r="E155" s="254"/>
      <c r="F155" s="252" t="s">
        <v>46</v>
      </c>
      <c r="G155" s="253"/>
      <c r="H155" s="254"/>
      <c r="J155" s="126"/>
      <c r="K155" s="124"/>
      <c r="L155" s="124"/>
      <c r="M155" s="124"/>
      <c r="N155" s="236"/>
    </row>
    <row r="156" spans="1:14" ht="15" customHeight="1" x14ac:dyDescent="0.25">
      <c r="A156" s="236"/>
      <c r="C156" s="20" t="s">
        <v>12</v>
      </c>
      <c r="D156" s="19" t="s">
        <v>11</v>
      </c>
      <c r="E156" s="19" t="s">
        <v>10</v>
      </c>
      <c r="F156" s="20" t="s">
        <v>12</v>
      </c>
      <c r="G156" s="19" t="s">
        <v>11</v>
      </c>
      <c r="H156" s="18" t="s">
        <v>10</v>
      </c>
      <c r="J156" s="3"/>
      <c r="K156" s="124"/>
      <c r="L156" s="124"/>
      <c r="M156" s="124"/>
      <c r="N156" s="236"/>
    </row>
    <row r="157" spans="1:14" ht="15" customHeight="1" x14ac:dyDescent="0.25">
      <c r="A157" s="236"/>
      <c r="C157" s="16" t="s">
        <v>8</v>
      </c>
      <c r="D157" s="15" t="s">
        <v>7</v>
      </c>
      <c r="E157" s="15" t="s">
        <v>353</v>
      </c>
      <c r="F157" s="16" t="s">
        <v>8</v>
      </c>
      <c r="G157" s="15" t="s">
        <v>7</v>
      </c>
      <c r="H157" s="14" t="s">
        <v>353</v>
      </c>
      <c r="N157" s="236"/>
    </row>
    <row r="158" spans="1:14" ht="15.75" customHeight="1" thickBot="1" x14ac:dyDescent="0.3">
      <c r="A158" s="236"/>
      <c r="C158" s="13" t="str">
        <f>IFERROR(8*G135*G137^3/(G136*G138*G140),"")</f>
        <v/>
      </c>
      <c r="D158" s="12" t="str">
        <f>IFERROR(G135*G137/(G139*1000),"")</f>
        <v/>
      </c>
      <c r="E158" s="11" t="str">
        <f>IFERROR(G142*G135*G137/G141*(G137/G140),"")</f>
        <v/>
      </c>
      <c r="F158" s="13" t="str">
        <f>IFERROR(8*H135*H137^3/(H136*H138*H140),"")</f>
        <v/>
      </c>
      <c r="G158" s="12" t="str">
        <f>IFERROR(H135*H137/(H139*1000),"")</f>
        <v/>
      </c>
      <c r="H158" s="11" t="str">
        <f>IFERROR(H142*H135*H137/H141*(H137/H140),"")</f>
        <v/>
      </c>
      <c r="N158" s="236"/>
    </row>
    <row r="159" spans="1:14" ht="15.75" customHeight="1" thickBot="1" x14ac:dyDescent="0.3">
      <c r="A159" s="236"/>
      <c r="C159" s="10"/>
      <c r="D159" s="67" t="s">
        <v>16</v>
      </c>
      <c r="E159" s="7">
        <f>SUM(C158:E158)</f>
        <v>0</v>
      </c>
      <c r="F159" s="9"/>
      <c r="G159" s="67" t="s">
        <v>16</v>
      </c>
      <c r="H159" s="7">
        <f>SUM(F158:H158)</f>
        <v>0</v>
      </c>
      <c r="N159" s="236"/>
    </row>
    <row r="160" spans="1:14" ht="15" customHeight="1" x14ac:dyDescent="0.25">
      <c r="A160" s="236"/>
      <c r="C160" s="253"/>
      <c r="D160" s="253"/>
      <c r="E160" s="253"/>
      <c r="F160" s="253"/>
      <c r="G160" s="253"/>
      <c r="H160" s="253"/>
      <c r="N160" s="236"/>
    </row>
    <row r="161" spans="1:14" ht="15" customHeight="1" x14ac:dyDescent="0.25">
      <c r="A161" s="236"/>
      <c r="B161" s="255" t="s">
        <v>161</v>
      </c>
      <c r="C161" s="256"/>
      <c r="D161" s="256"/>
      <c r="E161" s="256"/>
      <c r="F161" s="256"/>
      <c r="G161" s="256"/>
      <c r="H161" s="256"/>
      <c r="I161" s="256"/>
      <c r="J161" s="256"/>
      <c r="K161" s="256"/>
      <c r="L161" s="256"/>
      <c r="M161" s="257"/>
      <c r="N161" s="236"/>
    </row>
    <row r="162" spans="1:14" x14ac:dyDescent="0.25">
      <c r="A162" s="164"/>
      <c r="B162" s="80"/>
      <c r="C162" s="80"/>
      <c r="D162" s="80"/>
      <c r="E162" s="80"/>
      <c r="F162" s="80"/>
      <c r="G162" s="80"/>
      <c r="H162" s="80"/>
      <c r="I162" s="80"/>
      <c r="J162" s="80"/>
      <c r="K162" s="80"/>
      <c r="L162" s="80"/>
      <c r="M162" s="80"/>
      <c r="N162" s="164"/>
    </row>
    <row r="163" spans="1:14" ht="15.75" thickBot="1" x14ac:dyDescent="0.3">
      <c r="A163" s="164"/>
      <c r="B163" s="258" t="s">
        <v>142</v>
      </c>
      <c r="C163" s="258"/>
      <c r="D163" s="258"/>
      <c r="E163" s="258"/>
      <c r="F163" s="258"/>
      <c r="G163" s="258"/>
      <c r="H163" s="258"/>
      <c r="I163" s="258"/>
      <c r="J163" s="258"/>
      <c r="K163" s="258"/>
      <c r="L163" s="258"/>
      <c r="M163" s="258"/>
      <c r="N163" s="164"/>
    </row>
    <row r="164" spans="1:14" ht="15" customHeight="1" x14ac:dyDescent="0.25">
      <c r="A164" s="164"/>
      <c r="B164" s="250" t="s">
        <v>371</v>
      </c>
      <c r="C164" s="250"/>
      <c r="D164" s="250"/>
      <c r="E164" s="250"/>
      <c r="F164" s="250"/>
      <c r="G164" s="250"/>
      <c r="H164" s="250"/>
      <c r="I164" s="250"/>
      <c r="J164" s="250"/>
      <c r="K164" s="250"/>
      <c r="L164" s="250"/>
      <c r="M164" s="250"/>
      <c r="N164" s="164"/>
    </row>
    <row r="165" spans="1:14" x14ac:dyDescent="0.25">
      <c r="A165" s="164"/>
      <c r="B165" s="251"/>
      <c r="C165" s="251"/>
      <c r="D165" s="251"/>
      <c r="E165" s="251"/>
      <c r="F165" s="251"/>
      <c r="G165" s="251"/>
      <c r="H165" s="251"/>
      <c r="I165" s="251"/>
      <c r="J165" s="251"/>
      <c r="K165" s="251"/>
      <c r="L165" s="251"/>
      <c r="M165" s="251"/>
      <c r="N165" s="164"/>
    </row>
    <row r="166" spans="1:14" x14ac:dyDescent="0.25">
      <c r="A166" s="164"/>
      <c r="B166" s="251"/>
      <c r="C166" s="251"/>
      <c r="D166" s="251"/>
      <c r="E166" s="251"/>
      <c r="F166" s="251"/>
      <c r="G166" s="251"/>
      <c r="H166" s="251"/>
      <c r="I166" s="251"/>
      <c r="J166" s="251"/>
      <c r="K166" s="251"/>
      <c r="L166" s="251"/>
      <c r="M166" s="251"/>
      <c r="N166" s="164"/>
    </row>
    <row r="167" spans="1:14" x14ac:dyDescent="0.25">
      <c r="A167" s="164"/>
      <c r="B167" s="251"/>
      <c r="C167" s="251"/>
      <c r="D167" s="251"/>
      <c r="E167" s="251"/>
      <c r="F167" s="251"/>
      <c r="G167" s="251"/>
      <c r="H167" s="251"/>
      <c r="I167" s="251"/>
      <c r="J167" s="251"/>
      <c r="K167" s="251"/>
      <c r="L167" s="251"/>
      <c r="M167" s="251"/>
      <c r="N167" s="164"/>
    </row>
    <row r="168" spans="1:14" x14ac:dyDescent="0.25">
      <c r="A168" s="164"/>
      <c r="B168" s="251"/>
      <c r="C168" s="251"/>
      <c r="D168" s="251"/>
      <c r="E168" s="251"/>
      <c r="F168" s="251"/>
      <c r="G168" s="251"/>
      <c r="H168" s="251"/>
      <c r="I168" s="251"/>
      <c r="J168" s="251"/>
      <c r="K168" s="251"/>
      <c r="L168" s="251"/>
      <c r="M168" s="251"/>
      <c r="N168" s="164"/>
    </row>
    <row r="169" spans="1:14" x14ac:dyDescent="0.25">
      <c r="A169" s="164"/>
      <c r="B169" s="164"/>
      <c r="C169" s="164"/>
      <c r="D169" s="164"/>
      <c r="E169" s="164"/>
      <c r="F169" s="164"/>
      <c r="G169" s="164"/>
      <c r="H169" s="164"/>
      <c r="I169" s="164"/>
      <c r="J169" s="164"/>
      <c r="K169" s="164"/>
      <c r="L169" s="164"/>
      <c r="M169" s="164"/>
      <c r="N169" s="164"/>
    </row>
    <row r="170" spans="1:14" x14ac:dyDescent="0.25">
      <c r="A170" s="164"/>
      <c r="B170" s="164"/>
      <c r="C170" s="164"/>
      <c r="D170" s="164"/>
      <c r="E170" s="164"/>
      <c r="F170" s="164"/>
      <c r="G170" s="164"/>
      <c r="H170" s="164"/>
      <c r="I170" s="164"/>
      <c r="J170" s="164"/>
      <c r="K170" s="164"/>
      <c r="L170" s="164"/>
      <c r="M170" s="164"/>
      <c r="N170" s="164"/>
    </row>
    <row r="171" spans="1:14" x14ac:dyDescent="0.25">
      <c r="A171" s="164"/>
      <c r="B171" s="164"/>
      <c r="C171" s="164"/>
      <c r="D171" s="164"/>
      <c r="E171" s="164"/>
      <c r="F171" s="164"/>
      <c r="G171" s="164"/>
      <c r="H171" s="164"/>
      <c r="I171" s="164"/>
      <c r="J171" s="164"/>
      <c r="K171" s="164"/>
      <c r="L171" s="164"/>
      <c r="M171" s="164"/>
      <c r="N171" s="164"/>
    </row>
    <row r="172" spans="1:14" x14ac:dyDescent="0.25">
      <c r="A172" s="164"/>
      <c r="B172" s="164"/>
      <c r="C172" s="164"/>
      <c r="D172" s="164"/>
      <c r="E172" s="164"/>
      <c r="F172" s="164"/>
      <c r="G172" s="164"/>
      <c r="H172" s="164"/>
      <c r="I172" s="164"/>
      <c r="J172" s="164"/>
      <c r="K172" s="164"/>
      <c r="L172" s="164"/>
      <c r="M172" s="164"/>
      <c r="N172" s="164"/>
    </row>
    <row r="173" spans="1:14" x14ac:dyDescent="0.25">
      <c r="A173" s="164"/>
      <c r="B173" s="164"/>
      <c r="C173" s="164"/>
      <c r="D173" s="164"/>
      <c r="E173" s="164"/>
      <c r="F173" s="164"/>
      <c r="G173" s="164"/>
      <c r="H173" s="164"/>
      <c r="I173" s="164"/>
      <c r="J173" s="164"/>
      <c r="K173" s="164"/>
      <c r="L173" s="164"/>
      <c r="M173" s="164"/>
      <c r="N173" s="164"/>
    </row>
    <row r="174" spans="1:14" x14ac:dyDescent="0.25">
      <c r="A174" s="164"/>
      <c r="B174" s="164"/>
      <c r="C174" s="164"/>
      <c r="D174" s="164"/>
      <c r="E174" s="164"/>
      <c r="F174" s="164"/>
      <c r="G174" s="164"/>
      <c r="H174" s="164"/>
      <c r="I174" s="164"/>
      <c r="J174" s="164"/>
      <c r="K174" s="164"/>
      <c r="L174" s="164"/>
      <c r="M174" s="164"/>
      <c r="N174" s="164"/>
    </row>
    <row r="175" spans="1:14" x14ac:dyDescent="0.25">
      <c r="A175" s="164"/>
      <c r="B175" s="164"/>
      <c r="C175" s="164"/>
      <c r="D175" s="164"/>
      <c r="E175" s="164"/>
      <c r="F175" s="164"/>
      <c r="G175" s="164"/>
      <c r="H175" s="164"/>
      <c r="I175" s="164"/>
      <c r="J175" s="164"/>
      <c r="K175" s="164"/>
      <c r="L175" s="164"/>
      <c r="M175" s="164"/>
      <c r="N175" s="164"/>
    </row>
    <row r="176" spans="1:14" x14ac:dyDescent="0.25">
      <c r="A176" s="164"/>
      <c r="B176" s="164"/>
      <c r="C176" s="164"/>
      <c r="D176" s="164"/>
      <c r="E176" s="164"/>
      <c r="F176" s="164"/>
      <c r="G176" s="164"/>
      <c r="H176" s="164"/>
      <c r="I176" s="164"/>
      <c r="J176" s="164"/>
      <c r="K176" s="164"/>
      <c r="L176" s="164"/>
      <c r="M176" s="164"/>
      <c r="N176" s="164"/>
    </row>
    <row r="177" spans="1:14" x14ac:dyDescent="0.25">
      <c r="A177" s="164"/>
      <c r="B177" s="164"/>
      <c r="C177" s="164"/>
      <c r="D177" s="164"/>
      <c r="E177" s="164"/>
      <c r="F177" s="164"/>
      <c r="G177" s="164"/>
      <c r="H177" s="164"/>
      <c r="I177" s="164"/>
      <c r="J177" s="164"/>
      <c r="K177" s="164"/>
      <c r="L177" s="164"/>
      <c r="M177" s="164"/>
      <c r="N177" s="164"/>
    </row>
    <row r="178" spans="1:14" x14ac:dyDescent="0.25">
      <c r="A178" s="164"/>
      <c r="B178" s="164"/>
      <c r="C178" s="164"/>
      <c r="D178" s="164"/>
      <c r="E178" s="164"/>
      <c r="F178" s="164"/>
      <c r="G178" s="164"/>
      <c r="H178" s="164"/>
      <c r="I178" s="164"/>
      <c r="J178" s="164"/>
      <c r="K178" s="164"/>
      <c r="L178" s="164"/>
      <c r="M178" s="164"/>
      <c r="N178" s="164"/>
    </row>
    <row r="179" spans="1:14" x14ac:dyDescent="0.25">
      <c r="A179" s="164"/>
      <c r="B179" s="164"/>
      <c r="C179" s="164"/>
      <c r="D179" s="164"/>
      <c r="E179" s="164"/>
      <c r="F179" s="164"/>
      <c r="G179" s="164"/>
      <c r="H179" s="164"/>
      <c r="I179" s="164"/>
      <c r="J179" s="164"/>
      <c r="K179" s="164"/>
      <c r="L179" s="164"/>
      <c r="M179" s="164"/>
      <c r="N179" s="164"/>
    </row>
    <row r="180" spans="1:14" x14ac:dyDescent="0.25">
      <c r="A180" s="164"/>
      <c r="B180" s="164"/>
      <c r="C180" s="164"/>
      <c r="D180" s="164"/>
      <c r="E180" s="164"/>
      <c r="F180" s="164"/>
      <c r="G180" s="164"/>
      <c r="H180" s="164"/>
      <c r="I180" s="164"/>
      <c r="J180" s="164"/>
      <c r="K180" s="164"/>
      <c r="L180" s="164"/>
      <c r="M180" s="164"/>
      <c r="N180" s="164"/>
    </row>
    <row r="181" spans="1:14" x14ac:dyDescent="0.25">
      <c r="A181" s="164"/>
      <c r="B181" s="164"/>
      <c r="C181" s="164"/>
      <c r="D181" s="164"/>
      <c r="E181" s="164"/>
      <c r="F181" s="164"/>
      <c r="G181" s="164"/>
      <c r="H181" s="164"/>
      <c r="I181" s="164"/>
      <c r="J181" s="164"/>
      <c r="K181" s="164"/>
      <c r="L181" s="164"/>
      <c r="M181" s="164"/>
      <c r="N181" s="164"/>
    </row>
    <row r="182" spans="1:14" x14ac:dyDescent="0.25">
      <c r="A182" s="164"/>
      <c r="B182" s="164"/>
      <c r="C182" s="164"/>
      <c r="D182" s="164"/>
      <c r="E182" s="164"/>
      <c r="F182" s="164"/>
      <c r="G182" s="164"/>
      <c r="H182" s="164"/>
      <c r="I182" s="164"/>
      <c r="J182" s="164"/>
      <c r="K182" s="164"/>
      <c r="L182" s="164"/>
      <c r="M182" s="164"/>
      <c r="N182" s="164"/>
    </row>
    <row r="183" spans="1:14" x14ac:dyDescent="0.25">
      <c r="A183" s="164"/>
      <c r="B183" s="164"/>
      <c r="C183" s="164"/>
      <c r="D183" s="164"/>
      <c r="E183" s="164"/>
      <c r="F183" s="164"/>
      <c r="G183" s="164"/>
      <c r="H183" s="164"/>
      <c r="I183" s="164"/>
      <c r="J183" s="164"/>
      <c r="K183" s="164"/>
      <c r="L183" s="164"/>
      <c r="M183" s="164"/>
      <c r="N183" s="164"/>
    </row>
    <row r="184" spans="1:14" x14ac:dyDescent="0.25">
      <c r="A184" s="164"/>
      <c r="B184" s="164"/>
      <c r="C184" s="164"/>
      <c r="D184" s="164"/>
      <c r="E184" s="164"/>
      <c r="F184" s="164"/>
      <c r="G184" s="164"/>
      <c r="H184" s="164"/>
      <c r="I184" s="164"/>
      <c r="J184" s="164"/>
      <c r="K184" s="164"/>
      <c r="L184" s="164"/>
      <c r="M184" s="164"/>
      <c r="N184" s="164"/>
    </row>
    <row r="185" spans="1:14" x14ac:dyDescent="0.25">
      <c r="A185" s="164"/>
      <c r="B185" s="164"/>
      <c r="C185" s="164"/>
      <c r="D185" s="164"/>
      <c r="E185" s="164"/>
      <c r="F185" s="164"/>
      <c r="G185" s="164"/>
      <c r="H185" s="164"/>
      <c r="I185" s="164"/>
      <c r="J185" s="164"/>
      <c r="K185" s="164"/>
      <c r="L185" s="164"/>
      <c r="M185" s="164"/>
      <c r="N185" s="164"/>
    </row>
    <row r="186" spans="1:14" x14ac:dyDescent="0.25">
      <c r="A186" s="164"/>
      <c r="B186" s="164"/>
      <c r="C186" s="164"/>
      <c r="D186" s="164"/>
      <c r="E186" s="164"/>
      <c r="F186" s="164"/>
      <c r="G186" s="164"/>
      <c r="H186" s="164"/>
      <c r="I186" s="164"/>
      <c r="J186" s="164"/>
      <c r="K186" s="164"/>
      <c r="L186" s="164"/>
      <c r="M186" s="164"/>
      <c r="N186" s="164"/>
    </row>
    <row r="187" spans="1:14" x14ac:dyDescent="0.25">
      <c r="A187" s="164"/>
      <c r="B187" s="164"/>
      <c r="C187" s="164"/>
      <c r="D187" s="164"/>
      <c r="E187" s="164"/>
      <c r="F187" s="164"/>
      <c r="G187" s="164"/>
      <c r="H187" s="164"/>
      <c r="I187" s="164"/>
      <c r="J187" s="164"/>
      <c r="K187" s="164"/>
      <c r="L187" s="164"/>
      <c r="M187" s="164"/>
      <c r="N187" s="164"/>
    </row>
    <row r="188" spans="1:14" x14ac:dyDescent="0.25">
      <c r="A188" s="164"/>
      <c r="B188" s="164"/>
      <c r="C188" s="164"/>
      <c r="D188" s="164"/>
      <c r="E188" s="164"/>
      <c r="F188" s="164"/>
      <c r="G188" s="164"/>
      <c r="H188" s="164"/>
      <c r="I188" s="164"/>
      <c r="J188" s="164"/>
      <c r="K188" s="164"/>
      <c r="L188" s="164"/>
      <c r="M188" s="164"/>
      <c r="N188" s="164"/>
    </row>
    <row r="189" spans="1:14" x14ac:dyDescent="0.25">
      <c r="A189" s="164"/>
      <c r="B189" s="164"/>
      <c r="C189" s="164"/>
      <c r="D189" s="164"/>
      <c r="E189" s="164"/>
      <c r="F189" s="164"/>
      <c r="G189" s="164"/>
      <c r="H189" s="164"/>
      <c r="I189" s="164"/>
      <c r="J189" s="164"/>
      <c r="K189" s="164"/>
      <c r="L189" s="164"/>
      <c r="M189" s="164"/>
      <c r="N189" s="164"/>
    </row>
    <row r="190" spans="1:14" x14ac:dyDescent="0.25">
      <c r="A190" s="164"/>
      <c r="B190" s="164"/>
      <c r="C190" s="164"/>
      <c r="D190" s="164"/>
      <c r="E190" s="164"/>
      <c r="F190" s="164"/>
      <c r="G190" s="164"/>
      <c r="H190" s="164"/>
      <c r="I190" s="164"/>
      <c r="J190" s="164"/>
      <c r="K190" s="164"/>
      <c r="L190" s="164"/>
      <c r="M190" s="164"/>
      <c r="N190" s="164"/>
    </row>
    <row r="191" spans="1:14" x14ac:dyDescent="0.25">
      <c r="A191" s="164"/>
      <c r="B191" s="164"/>
      <c r="C191" s="164"/>
      <c r="D191" s="164"/>
      <c r="E191" s="164"/>
      <c r="F191" s="164"/>
      <c r="G191" s="164"/>
      <c r="H191" s="164"/>
      <c r="I191" s="164"/>
      <c r="J191" s="164"/>
      <c r="K191" s="164"/>
      <c r="L191" s="164"/>
      <c r="M191" s="164"/>
      <c r="N191" s="164"/>
    </row>
    <row r="192" spans="1:14" x14ac:dyDescent="0.25">
      <c r="A192" s="164"/>
      <c r="B192" s="164"/>
      <c r="C192" s="164"/>
      <c r="D192" s="164"/>
      <c r="E192" s="164"/>
      <c r="F192" s="164"/>
      <c r="G192" s="164"/>
      <c r="H192" s="164"/>
      <c r="I192" s="164"/>
      <c r="J192" s="164"/>
      <c r="K192" s="164"/>
      <c r="L192" s="164"/>
      <c r="M192" s="164"/>
      <c r="N192" s="164"/>
    </row>
    <row r="193" spans="1:14" x14ac:dyDescent="0.25">
      <c r="A193" s="164"/>
      <c r="B193" s="164"/>
      <c r="C193" s="164"/>
      <c r="D193" s="164"/>
      <c r="E193" s="164"/>
      <c r="F193" s="164"/>
      <c r="G193" s="164"/>
      <c r="H193" s="164"/>
      <c r="I193" s="164"/>
      <c r="J193" s="164"/>
      <c r="K193" s="164"/>
      <c r="L193" s="164"/>
      <c r="M193" s="164"/>
      <c r="N193" s="164"/>
    </row>
    <row r="194" spans="1:14" x14ac:dyDescent="0.25">
      <c r="A194" s="164"/>
      <c r="B194" s="164"/>
      <c r="C194" s="164"/>
      <c r="D194" s="164"/>
      <c r="E194" s="164"/>
      <c r="F194" s="164"/>
      <c r="G194" s="164"/>
      <c r="H194" s="164"/>
      <c r="I194" s="164"/>
      <c r="J194" s="164"/>
      <c r="K194" s="164"/>
      <c r="L194" s="164"/>
      <c r="M194" s="164"/>
      <c r="N194" s="164"/>
    </row>
    <row r="195" spans="1:14" x14ac:dyDescent="0.25">
      <c r="A195" s="164"/>
      <c r="B195" s="164"/>
      <c r="C195" s="164"/>
      <c r="D195" s="164"/>
      <c r="E195" s="164"/>
      <c r="F195" s="164"/>
      <c r="G195" s="164"/>
      <c r="H195" s="164"/>
      <c r="I195" s="164"/>
      <c r="J195" s="164"/>
      <c r="K195" s="164"/>
      <c r="L195" s="164"/>
      <c r="M195" s="164"/>
      <c r="N195" s="164"/>
    </row>
    <row r="196" spans="1:14" x14ac:dyDescent="0.25">
      <c r="A196" s="164"/>
      <c r="B196" s="164"/>
      <c r="C196" s="164"/>
      <c r="D196" s="164"/>
      <c r="E196" s="164"/>
      <c r="F196" s="164"/>
      <c r="G196" s="164"/>
      <c r="H196" s="164"/>
      <c r="I196" s="164"/>
      <c r="J196" s="164"/>
      <c r="K196" s="164"/>
      <c r="L196" s="164"/>
      <c r="M196" s="164"/>
      <c r="N196" s="164"/>
    </row>
    <row r="197" spans="1:14" x14ac:dyDescent="0.25">
      <c r="A197" s="164"/>
      <c r="B197" s="164"/>
      <c r="C197" s="164"/>
      <c r="D197" s="164"/>
      <c r="E197" s="164"/>
      <c r="F197" s="164"/>
      <c r="G197" s="164"/>
      <c r="H197" s="164"/>
      <c r="I197" s="164"/>
      <c r="J197" s="164"/>
      <c r="K197" s="164"/>
      <c r="L197" s="164"/>
      <c r="M197" s="164"/>
      <c r="N197" s="164"/>
    </row>
    <row r="198" spans="1:14" x14ac:dyDescent="0.25">
      <c r="A198" s="164"/>
      <c r="B198" s="164"/>
      <c r="C198" s="164"/>
      <c r="D198" s="164"/>
      <c r="E198" s="164"/>
      <c r="F198" s="164"/>
      <c r="G198" s="164"/>
      <c r="H198" s="164"/>
      <c r="I198" s="164"/>
      <c r="J198" s="164"/>
      <c r="K198" s="164"/>
      <c r="L198" s="164"/>
      <c r="M198" s="164"/>
      <c r="N198" s="164"/>
    </row>
    <row r="199" spans="1:14" x14ac:dyDescent="0.25">
      <c r="A199" s="164"/>
      <c r="B199" s="164"/>
      <c r="C199" s="164"/>
      <c r="D199" s="164"/>
      <c r="E199" s="164"/>
      <c r="F199" s="164"/>
      <c r="G199" s="164"/>
      <c r="H199" s="164"/>
      <c r="I199" s="164"/>
      <c r="J199" s="164"/>
      <c r="K199" s="164"/>
      <c r="L199" s="164"/>
      <c r="M199" s="164"/>
      <c r="N199" s="164"/>
    </row>
    <row r="200" spans="1:14" x14ac:dyDescent="0.25">
      <c r="A200" s="164"/>
      <c r="B200" s="164"/>
      <c r="C200" s="164"/>
      <c r="D200" s="164"/>
      <c r="E200" s="164"/>
      <c r="F200" s="164"/>
      <c r="G200" s="164"/>
      <c r="H200" s="164"/>
      <c r="I200" s="164"/>
      <c r="J200" s="164"/>
      <c r="K200" s="164"/>
      <c r="L200" s="164"/>
      <c r="M200" s="164"/>
      <c r="N200" s="164"/>
    </row>
    <row r="201" spans="1:14" x14ac:dyDescent="0.25">
      <c r="A201" s="164"/>
      <c r="B201" s="164"/>
      <c r="C201" s="164"/>
      <c r="D201" s="164"/>
      <c r="E201" s="164"/>
      <c r="F201" s="164"/>
      <c r="G201" s="164"/>
      <c r="H201" s="164"/>
      <c r="I201" s="164"/>
      <c r="J201" s="164"/>
      <c r="K201" s="164"/>
      <c r="L201" s="164"/>
      <c r="M201" s="164"/>
      <c r="N201" s="164"/>
    </row>
    <row r="202" spans="1:14" x14ac:dyDescent="0.25">
      <c r="A202" s="164"/>
      <c r="B202" s="164"/>
      <c r="C202" s="164"/>
      <c r="D202" s="164"/>
      <c r="E202" s="164"/>
      <c r="F202" s="164"/>
      <c r="G202" s="164"/>
      <c r="H202" s="164"/>
      <c r="I202" s="164"/>
      <c r="J202" s="164"/>
      <c r="K202" s="164"/>
      <c r="L202" s="164"/>
      <c r="M202" s="164"/>
      <c r="N202" s="164"/>
    </row>
    <row r="203" spans="1:14" x14ac:dyDescent="0.25">
      <c r="A203" s="164"/>
      <c r="B203" s="164"/>
      <c r="C203" s="164"/>
      <c r="D203" s="164"/>
      <c r="E203" s="164"/>
      <c r="F203" s="164"/>
      <c r="G203" s="164"/>
      <c r="H203" s="164"/>
      <c r="I203" s="164"/>
      <c r="J203" s="164"/>
      <c r="K203" s="164"/>
      <c r="L203" s="164"/>
      <c r="M203" s="164"/>
      <c r="N203" s="164"/>
    </row>
    <row r="204" spans="1:14" x14ac:dyDescent="0.25">
      <c r="A204" s="164"/>
      <c r="B204" s="164"/>
      <c r="C204" s="164"/>
      <c r="D204" s="164"/>
      <c r="E204" s="164"/>
      <c r="F204" s="164"/>
      <c r="G204" s="164"/>
      <c r="H204" s="164"/>
      <c r="I204" s="164"/>
      <c r="J204" s="164"/>
      <c r="K204" s="164"/>
      <c r="L204" s="164"/>
      <c r="M204" s="164"/>
      <c r="N204" s="164"/>
    </row>
    <row r="205" spans="1:14" x14ac:dyDescent="0.25">
      <c r="A205" s="164"/>
      <c r="B205" s="164"/>
      <c r="C205" s="164"/>
      <c r="D205" s="164"/>
      <c r="E205" s="164"/>
      <c r="F205" s="164"/>
      <c r="G205" s="164"/>
      <c r="H205" s="164"/>
      <c r="I205" s="164"/>
      <c r="J205" s="164"/>
      <c r="K205" s="164"/>
      <c r="L205" s="164"/>
      <c r="M205" s="164"/>
      <c r="N205" s="164"/>
    </row>
    <row r="206" spans="1:14" x14ac:dyDescent="0.25">
      <c r="A206" s="164"/>
      <c r="B206" s="164"/>
      <c r="C206" s="164"/>
      <c r="D206" s="164"/>
      <c r="E206" s="164"/>
      <c r="F206" s="164"/>
      <c r="G206" s="164"/>
      <c r="H206" s="164"/>
      <c r="I206" s="164"/>
      <c r="J206" s="164"/>
      <c r="K206" s="164"/>
      <c r="L206" s="164"/>
      <c r="M206" s="164"/>
      <c r="N206" s="164"/>
    </row>
    <row r="207" spans="1:14" x14ac:dyDescent="0.25">
      <c r="A207" s="164"/>
      <c r="B207" s="164"/>
      <c r="C207" s="164"/>
      <c r="D207" s="164"/>
      <c r="E207" s="164"/>
      <c r="F207" s="164"/>
      <c r="G207" s="164"/>
      <c r="H207" s="164"/>
      <c r="I207" s="164"/>
      <c r="J207" s="164"/>
      <c r="K207" s="164"/>
      <c r="L207" s="164"/>
      <c r="M207" s="164"/>
      <c r="N207" s="164"/>
    </row>
    <row r="208" spans="1:14" x14ac:dyDescent="0.25">
      <c r="A208" s="164"/>
      <c r="B208" s="164"/>
      <c r="C208" s="164"/>
      <c r="D208" s="164"/>
      <c r="E208" s="164"/>
      <c r="F208" s="164"/>
      <c r="G208" s="164"/>
      <c r="H208" s="164"/>
      <c r="I208" s="164"/>
      <c r="J208" s="164"/>
      <c r="K208" s="164"/>
      <c r="L208" s="164"/>
      <c r="M208" s="164"/>
      <c r="N208" s="164"/>
    </row>
    <row r="209" spans="1:14" x14ac:dyDescent="0.25">
      <c r="A209" s="164"/>
      <c r="B209" s="164"/>
      <c r="C209" s="164"/>
      <c r="D209" s="164"/>
      <c r="E209" s="164"/>
      <c r="F209" s="164"/>
      <c r="G209" s="164"/>
      <c r="H209" s="164"/>
      <c r="I209" s="164"/>
      <c r="J209" s="164"/>
      <c r="K209" s="164"/>
      <c r="L209" s="164"/>
      <c r="M209" s="164"/>
      <c r="N209" s="164"/>
    </row>
    <row r="210" spans="1:14" x14ac:dyDescent="0.25">
      <c r="A210" s="164"/>
      <c r="B210" s="164"/>
      <c r="C210" s="164"/>
      <c r="D210" s="164"/>
      <c r="E210" s="164"/>
      <c r="F210" s="164"/>
      <c r="G210" s="164"/>
      <c r="H210" s="164"/>
      <c r="I210" s="164"/>
      <c r="J210" s="164"/>
      <c r="K210" s="164"/>
      <c r="L210" s="164"/>
      <c r="M210" s="164"/>
      <c r="N210" s="164"/>
    </row>
  </sheetData>
  <sheetProtection algorithmName="SHA-512" hashValue="zgyd1tjTP0b9jRdy8bGa43la3b8YLZvS5pYZS+Nljd4rguQOVUUiTG/6oRAN7oxEx5HBffXhVpmwnQAA6KOw3w==" saltValue="rCCXK5qsS/FWH7BS4XzlTQ==" spinCount="100000" sheet="1" objects="1" scenarios="1"/>
  <protectedRanges>
    <protectedRange sqref="C4 L4 C5:M8 D24:D27 F25:F28 H28 B82:C84 B86:C87 G82:G83 G85:H85 G87 K81 K84:K86 L24" name="Range1"/>
  </protectedRanges>
  <mergeCells count="64">
    <mergeCell ref="B163:M163"/>
    <mergeCell ref="C8:M8"/>
    <mergeCell ref="C7:M7"/>
    <mergeCell ref="C150:E150"/>
    <mergeCell ref="F150:H150"/>
    <mergeCell ref="C155:E155"/>
    <mergeCell ref="F155:H155"/>
    <mergeCell ref="J132:L134"/>
    <mergeCell ref="C120:F120"/>
    <mergeCell ref="G120:J120"/>
    <mergeCell ref="B127:F127"/>
    <mergeCell ref="C145:E145"/>
    <mergeCell ref="F145:H145"/>
    <mergeCell ref="B76:D76"/>
    <mergeCell ref="J25:K25"/>
    <mergeCell ref="G77:M77"/>
    <mergeCell ref="C6:M6"/>
    <mergeCell ref="B23:M23"/>
    <mergeCell ref="C115:F115"/>
    <mergeCell ref="G115:J115"/>
    <mergeCell ref="B89:F89"/>
    <mergeCell ref="C110:F110"/>
    <mergeCell ref="I35:K35"/>
    <mergeCell ref="B73:D73"/>
    <mergeCell ref="F73:H73"/>
    <mergeCell ref="J73:L73"/>
    <mergeCell ref="B74:D74"/>
    <mergeCell ref="F74:H74"/>
    <mergeCell ref="G76:M76"/>
    <mergeCell ref="J24:K24"/>
    <mergeCell ref="J29:L29"/>
    <mergeCell ref="G78:M78"/>
    <mergeCell ref="A1:A161"/>
    <mergeCell ref="B1:M1"/>
    <mergeCell ref="N1:N161"/>
    <mergeCell ref="B86:C86"/>
    <mergeCell ref="B87:C87"/>
    <mergeCell ref="B85:C85"/>
    <mergeCell ref="B161:M161"/>
    <mergeCell ref="F81:H81"/>
    <mergeCell ref="B82:C82"/>
    <mergeCell ref="B83:C83"/>
    <mergeCell ref="B84:C84"/>
    <mergeCell ref="B75:D75"/>
    <mergeCell ref="C33:F33"/>
    <mergeCell ref="I33:K33"/>
    <mergeCell ref="C34:F34"/>
    <mergeCell ref="I34:K34"/>
    <mergeCell ref="B164:M168"/>
    <mergeCell ref="B2:L2"/>
    <mergeCell ref="I32:K32"/>
    <mergeCell ref="C5:M5"/>
    <mergeCell ref="L4:M4"/>
    <mergeCell ref="C4:J4"/>
    <mergeCell ref="C35:F35"/>
    <mergeCell ref="G110:J110"/>
    <mergeCell ref="J94:L95"/>
    <mergeCell ref="G82:H82"/>
    <mergeCell ref="B80:E80"/>
    <mergeCell ref="B81:C81"/>
    <mergeCell ref="J74:L74"/>
    <mergeCell ref="B72:M72"/>
    <mergeCell ref="C160:E160"/>
    <mergeCell ref="F160:H160"/>
  </mergeCells>
  <conditionalFormatting sqref="J132">
    <cfRule type="expression" dxfId="28" priority="7">
      <formula>$C$139="N/A"</formula>
    </cfRule>
  </conditionalFormatting>
  <conditionalFormatting sqref="J94">
    <cfRule type="expression" dxfId="27" priority="6">
      <formula>$C$101="N/A"</formula>
    </cfRule>
  </conditionalFormatting>
  <conditionalFormatting sqref="G76:M76 G77">
    <cfRule type="expression" dxfId="26" priority="2">
      <formula>$F$85="**"</formula>
    </cfRule>
  </conditionalFormatting>
  <conditionalFormatting sqref="J29:L29">
    <cfRule type="expression" dxfId="25" priority="1">
      <formula>$J$29="No Good. Aspect Ratios &gt; 3.5"</formula>
    </cfRule>
  </conditionalFormatting>
  <dataValidations disablePrompts="1" count="1">
    <dataValidation type="list" allowBlank="1" showInputMessage="1" showErrorMessage="1" sqref="B83:C83">
      <formula1>INDIRECT($B$82)</formula1>
    </dataValidation>
  </dataValidations>
  <printOptions horizontalCentered="1"/>
  <pageMargins left="0.7" right="0.7" top="0.5" bottom="0.5" header="0.3" footer="0.3"/>
  <pageSetup scale="57" fitToHeight="0" orientation="portrait" r:id="rId1"/>
  <headerFooter>
    <oddFooter>&amp;C&amp;G</oddFooter>
    <firstHeader>&amp;C&amp;G</firstHeader>
    <firstFooter>&amp;C&amp;G</firstFooter>
  </headerFooter>
  <rowBreaks count="2" manualBreakCount="2">
    <brk id="78" max="16383" man="1"/>
    <brk id="125" min="1" max="12" man="1"/>
  </rowBreaks>
  <ignoredErrors>
    <ignoredError sqref="E96:G96 E134:H134 F105 F102 F107:G107 F106:G106 F142:H142 F141:H141 E99:G101 F104 E137:H139 F140 H140" formula="1"/>
  </ignoredErrors>
  <drawing r:id="rId2"/>
  <legacyDrawing r:id="rId3"/>
  <legacyDrawingHF r:id="rId4"/>
  <extLst>
    <ext xmlns:x14="http://schemas.microsoft.com/office/spreadsheetml/2009/9/main" uri="{CCE6A557-97BC-4b89-ADB6-D9C93CAAB3DF}">
      <x14:dataValidations xmlns:xm="http://schemas.microsoft.com/office/excel/2006/main" disablePrompts="1" count="6">
        <x14:dataValidation type="list" allowBlank="1" showInputMessage="1" showErrorMessage="1">
          <x14:formula1>
            <xm:f>LookUp!$A$2:$A$4</xm:f>
          </x14:formula1>
          <xm:sqref>B82:C82</xm:sqref>
        </x14:dataValidation>
        <x14:dataValidation type="list" allowBlank="1" showInputMessage="1" showErrorMessage="1">
          <x14:formula1>
            <xm:f>LookUp!$F$2:$F$3</xm:f>
          </x14:formula1>
          <xm:sqref>K81</xm:sqref>
        </x14:dataValidation>
        <x14:dataValidation type="list" allowBlank="1" showInputMessage="1" showErrorMessage="1">
          <x14:formula1>
            <xm:f>LookUp!$G$2:$G$5</xm:f>
          </x14:formula1>
          <xm:sqref>K84</xm:sqref>
        </x14:dataValidation>
        <x14:dataValidation type="list" allowBlank="1" showInputMessage="1" showErrorMessage="1">
          <x14:formula1>
            <xm:f>LookUp!$H$2:$H$7</xm:f>
          </x14:formula1>
          <xm:sqref>H85</xm:sqref>
        </x14:dataValidation>
        <x14:dataValidation type="list" allowBlank="1" showInputMessage="1" showErrorMessage="1">
          <x14:formula1>
            <xm:f>LookUp!$E$2:$E$3</xm:f>
          </x14:formula1>
          <xm:sqref>B84:C84</xm:sqref>
        </x14:dataValidation>
        <x14:dataValidation type="list" allowBlank="1" showInputMessage="1" showErrorMessage="1">
          <x14:formula1>
            <xm:f>LookUp!$E$10:$E$11</xm:f>
          </x14:formula1>
          <xm:sqref>L24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Z231"/>
  <sheetViews>
    <sheetView showGridLines="0" showRowColHeaders="0" zoomScaleNormal="100" workbookViewId="0">
      <selection activeCell="D33" sqref="D33"/>
    </sheetView>
  </sheetViews>
  <sheetFormatPr defaultRowHeight="15" x14ac:dyDescent="0.25"/>
  <cols>
    <col min="1" max="1" width="3.140625" customWidth="1"/>
    <col min="2" max="11" width="11.7109375" customWidth="1"/>
    <col min="12" max="12" width="13.7109375" customWidth="1"/>
    <col min="13" max="13" width="14.7109375" customWidth="1"/>
    <col min="14" max="14" width="12.42578125" customWidth="1"/>
    <col min="15" max="15" width="169.5703125" customWidth="1"/>
    <col min="16" max="17" width="15.7109375" hidden="1" customWidth="1"/>
    <col min="18" max="18" width="5" bestFit="1" customWidth="1"/>
    <col min="19" max="19" width="4.7109375" bestFit="1" customWidth="1"/>
  </cols>
  <sheetData>
    <row r="1" spans="1:26" x14ac:dyDescent="0.25">
      <c r="A1" s="236"/>
      <c r="B1" s="236"/>
      <c r="C1" s="236"/>
      <c r="D1" s="236"/>
      <c r="E1" s="236"/>
      <c r="F1" s="236"/>
      <c r="G1" s="236"/>
      <c r="H1" s="236"/>
      <c r="I1" s="236"/>
      <c r="J1" s="236"/>
      <c r="K1" s="236"/>
      <c r="L1" s="236"/>
      <c r="M1" s="236"/>
      <c r="N1" s="236"/>
      <c r="O1" s="236"/>
    </row>
    <row r="2" spans="1:26" ht="111.75" customHeight="1" x14ac:dyDescent="0.3">
      <c r="A2" s="236"/>
      <c r="B2" s="298"/>
      <c r="C2" s="298"/>
      <c r="D2" s="298"/>
      <c r="E2" s="298"/>
      <c r="F2" s="298"/>
      <c r="G2" s="298"/>
      <c r="H2" s="298"/>
      <c r="I2" s="298"/>
      <c r="J2" s="298"/>
      <c r="K2" s="298"/>
      <c r="L2" s="298"/>
      <c r="M2" s="298"/>
      <c r="N2" s="298"/>
      <c r="O2" s="236"/>
    </row>
    <row r="3" spans="1:26" ht="15" customHeight="1" thickBot="1" x14ac:dyDescent="0.3">
      <c r="A3" s="236"/>
      <c r="B3" s="52" t="s">
        <v>60</v>
      </c>
      <c r="C3" s="52"/>
      <c r="D3" s="52"/>
      <c r="E3" s="8"/>
      <c r="F3" s="8"/>
      <c r="G3" s="8"/>
      <c r="H3" s="8"/>
      <c r="I3" s="8"/>
      <c r="J3" s="8"/>
      <c r="K3" s="8"/>
      <c r="L3" s="8"/>
      <c r="M3" s="8"/>
      <c r="N3" s="8"/>
      <c r="O3" s="236"/>
    </row>
    <row r="4" spans="1:26" ht="15" customHeight="1" x14ac:dyDescent="0.25">
      <c r="A4" s="236"/>
      <c r="B4" s="46" t="s">
        <v>62</v>
      </c>
      <c r="C4" s="293"/>
      <c r="D4" s="293"/>
      <c r="E4" s="293"/>
      <c r="F4" s="293"/>
      <c r="G4" s="293"/>
      <c r="H4" s="293"/>
      <c r="I4" s="293"/>
      <c r="J4" s="293"/>
      <c r="K4" s="293"/>
      <c r="L4" s="93" t="s">
        <v>59</v>
      </c>
      <c r="M4" s="280"/>
      <c r="N4" s="280"/>
      <c r="O4" s="236"/>
      <c r="V4" s="24"/>
      <c r="W4" s="24"/>
      <c r="X4" s="24"/>
      <c r="Y4" s="24"/>
      <c r="Z4" s="24"/>
    </row>
    <row r="5" spans="1:26" ht="15" customHeight="1" x14ac:dyDescent="0.25">
      <c r="A5" s="236"/>
      <c r="B5" s="45" t="s">
        <v>58</v>
      </c>
      <c r="C5" s="280"/>
      <c r="D5" s="280"/>
      <c r="E5" s="280"/>
      <c r="F5" s="280"/>
      <c r="G5" s="280"/>
      <c r="H5" s="280"/>
      <c r="I5" s="280"/>
      <c r="J5" s="280"/>
      <c r="K5" s="280"/>
      <c r="L5" s="280"/>
      <c r="M5" s="280"/>
      <c r="N5" s="280"/>
      <c r="O5" s="236"/>
      <c r="T5" s="24"/>
      <c r="U5" s="24"/>
      <c r="V5" s="24"/>
      <c r="W5" s="24"/>
      <c r="X5" s="24"/>
      <c r="Y5" s="24"/>
      <c r="Z5" s="24"/>
    </row>
    <row r="6" spans="1:26" ht="15" customHeight="1" x14ac:dyDescent="0.25">
      <c r="A6" s="236"/>
      <c r="B6" s="45" t="s">
        <v>56</v>
      </c>
      <c r="C6" s="289"/>
      <c r="D6" s="289"/>
      <c r="E6" s="289"/>
      <c r="F6" s="289"/>
      <c r="G6" s="289"/>
      <c r="H6" s="289"/>
      <c r="I6" s="289"/>
      <c r="J6" s="289"/>
      <c r="K6" s="289"/>
      <c r="L6" s="289"/>
      <c r="M6" s="289"/>
      <c r="N6" s="289"/>
      <c r="O6" s="236"/>
      <c r="T6" s="24"/>
      <c r="U6" s="24"/>
      <c r="V6" s="24"/>
      <c r="W6" s="24"/>
      <c r="X6" s="24"/>
      <c r="Y6" s="24"/>
      <c r="Z6" s="24"/>
    </row>
    <row r="7" spans="1:26" ht="15" customHeight="1" x14ac:dyDescent="0.25">
      <c r="A7" s="236"/>
      <c r="B7" s="45" t="s">
        <v>57</v>
      </c>
      <c r="C7" s="299"/>
      <c r="D7" s="299"/>
      <c r="E7" s="299"/>
      <c r="F7" s="299"/>
      <c r="G7" s="299"/>
      <c r="H7" s="299"/>
      <c r="I7" s="299"/>
      <c r="J7" s="299"/>
      <c r="K7" s="299"/>
      <c r="L7" s="299"/>
      <c r="M7" s="299"/>
      <c r="N7" s="156"/>
      <c r="O7" s="236"/>
      <c r="T7" s="24"/>
      <c r="U7" s="24"/>
      <c r="V7" s="24"/>
      <c r="W7" s="24"/>
      <c r="X7" s="24"/>
      <c r="Y7" s="24"/>
      <c r="Z7" s="24"/>
    </row>
    <row r="8" spans="1:26" ht="15" customHeight="1" x14ac:dyDescent="0.25">
      <c r="A8" s="236"/>
      <c r="B8" s="45" t="s">
        <v>61</v>
      </c>
      <c r="C8" s="299"/>
      <c r="D8" s="299"/>
      <c r="E8" s="299"/>
      <c r="F8" s="299"/>
      <c r="G8" s="299"/>
      <c r="H8" s="299"/>
      <c r="I8" s="299"/>
      <c r="J8" s="299"/>
      <c r="K8" s="299"/>
      <c r="L8" s="299"/>
      <c r="M8" s="299"/>
      <c r="N8" s="299"/>
      <c r="O8" s="236"/>
      <c r="T8" s="24"/>
      <c r="U8" s="24"/>
      <c r="V8" s="24"/>
      <c r="W8" s="24"/>
      <c r="X8" s="24"/>
      <c r="Y8" s="24"/>
      <c r="Z8" s="24"/>
    </row>
    <row r="9" spans="1:26" ht="15" customHeight="1" x14ac:dyDescent="0.25">
      <c r="A9" s="236"/>
      <c r="B9" s="166"/>
      <c r="C9" s="167"/>
      <c r="D9" s="167"/>
      <c r="E9" s="167"/>
      <c r="F9" s="167"/>
      <c r="G9" s="167"/>
      <c r="H9" s="167"/>
      <c r="I9" s="167"/>
      <c r="J9" s="167"/>
      <c r="K9" s="167"/>
      <c r="L9" s="167"/>
      <c r="M9" s="167"/>
      <c r="N9" s="167"/>
      <c r="O9" s="236"/>
      <c r="T9" s="24"/>
      <c r="U9" s="24"/>
      <c r="V9" s="24"/>
      <c r="W9" s="24"/>
      <c r="X9" s="24"/>
      <c r="Y9" s="24"/>
      <c r="Z9" s="24"/>
    </row>
    <row r="10" spans="1:26" ht="15" customHeight="1" x14ac:dyDescent="0.25">
      <c r="A10" s="236"/>
      <c r="B10" s="166"/>
      <c r="C10" s="167"/>
      <c r="D10" s="167"/>
      <c r="E10" s="167"/>
      <c r="F10" s="167"/>
      <c r="G10" s="167"/>
      <c r="H10" s="167"/>
      <c r="I10" s="167"/>
      <c r="J10" s="167"/>
      <c r="K10" s="167"/>
      <c r="L10" s="167"/>
      <c r="M10" s="167"/>
      <c r="N10" s="167"/>
      <c r="O10" s="236"/>
      <c r="T10" s="24"/>
      <c r="U10" s="24"/>
      <c r="V10" s="24"/>
      <c r="W10" s="24"/>
      <c r="X10" s="24"/>
      <c r="Y10" s="24"/>
      <c r="Z10" s="24"/>
    </row>
    <row r="11" spans="1:26" ht="15" customHeight="1" x14ac:dyDescent="0.25">
      <c r="A11" s="236"/>
      <c r="B11" s="166"/>
      <c r="C11" s="167"/>
      <c r="D11" s="167"/>
      <c r="E11" s="167"/>
      <c r="F11" s="167"/>
      <c r="G11" s="167"/>
      <c r="H11" s="167"/>
      <c r="I11" s="167"/>
      <c r="J11" s="167"/>
      <c r="K11" s="167"/>
      <c r="L11" s="167"/>
      <c r="M11" s="167"/>
      <c r="N11" s="167"/>
      <c r="O11" s="236"/>
      <c r="T11" s="24"/>
      <c r="U11" s="24"/>
      <c r="V11" s="24"/>
      <c r="W11" s="24"/>
      <c r="X11" s="24"/>
      <c r="Y11" s="24"/>
      <c r="Z11" s="24"/>
    </row>
    <row r="12" spans="1:26" ht="15" customHeight="1" x14ac:dyDescent="0.25">
      <c r="A12" s="236"/>
      <c r="B12" s="166"/>
      <c r="C12" s="167"/>
      <c r="D12" s="167"/>
      <c r="E12" s="167"/>
      <c r="F12" s="167"/>
      <c r="G12" s="167"/>
      <c r="H12" s="167"/>
      <c r="I12" s="167"/>
      <c r="J12" s="167"/>
      <c r="K12" s="167"/>
      <c r="L12" s="167"/>
      <c r="M12" s="167"/>
      <c r="N12" s="167"/>
      <c r="O12" s="236"/>
      <c r="T12" s="24"/>
      <c r="U12" s="24"/>
      <c r="V12" s="24"/>
      <c r="W12" s="24"/>
      <c r="X12" s="24"/>
      <c r="Y12" s="24"/>
      <c r="Z12" s="24"/>
    </row>
    <row r="13" spans="1:26" ht="15" customHeight="1" x14ac:dyDescent="0.25">
      <c r="A13" s="236"/>
      <c r="B13" s="166"/>
      <c r="C13" s="167"/>
      <c r="D13" s="167"/>
      <c r="E13" s="167"/>
      <c r="F13" s="167"/>
      <c r="G13" s="167"/>
      <c r="H13" s="167"/>
      <c r="I13" s="167"/>
      <c r="J13" s="167"/>
      <c r="K13" s="167"/>
      <c r="L13" s="167"/>
      <c r="M13" s="167"/>
      <c r="N13" s="167"/>
      <c r="O13" s="236"/>
      <c r="T13" s="24"/>
      <c r="U13" s="24"/>
      <c r="V13" s="24"/>
      <c r="W13" s="24"/>
      <c r="X13" s="24"/>
      <c r="Y13" s="24"/>
      <c r="Z13" s="24"/>
    </row>
    <row r="14" spans="1:26" ht="15" customHeight="1" x14ac:dyDescent="0.25">
      <c r="A14" s="236"/>
      <c r="B14" s="166"/>
      <c r="C14" s="167"/>
      <c r="D14" s="167"/>
      <c r="E14" s="167"/>
      <c r="F14" s="167"/>
      <c r="G14" s="167"/>
      <c r="H14" s="167"/>
      <c r="I14" s="167"/>
      <c r="J14" s="167"/>
      <c r="K14" s="167"/>
      <c r="L14" s="167"/>
      <c r="M14" s="167"/>
      <c r="N14" s="167"/>
      <c r="O14" s="236"/>
      <c r="T14" s="24"/>
      <c r="U14" s="24"/>
      <c r="V14" s="24"/>
      <c r="W14" s="24"/>
      <c r="X14" s="24"/>
      <c r="Y14" s="24"/>
      <c r="Z14" s="24"/>
    </row>
    <row r="15" spans="1:26" ht="15" customHeight="1" x14ac:dyDescent="0.25">
      <c r="A15" s="236"/>
      <c r="B15" s="166"/>
      <c r="C15" s="167"/>
      <c r="D15" s="167"/>
      <c r="E15" s="167"/>
      <c r="F15" s="167"/>
      <c r="G15" s="167"/>
      <c r="H15" s="167"/>
      <c r="I15" s="167"/>
      <c r="J15" s="167"/>
      <c r="K15" s="167"/>
      <c r="L15" s="167"/>
      <c r="M15" s="167"/>
      <c r="N15" s="167"/>
      <c r="O15" s="236"/>
      <c r="T15" s="24"/>
      <c r="U15" s="24"/>
      <c r="V15" s="24"/>
      <c r="W15" s="24"/>
      <c r="X15" s="24"/>
      <c r="Y15" s="24"/>
      <c r="Z15" s="24"/>
    </row>
    <row r="16" spans="1:26" ht="15" customHeight="1" x14ac:dyDescent="0.25">
      <c r="A16" s="236"/>
      <c r="B16" s="166"/>
      <c r="C16" s="167"/>
      <c r="D16" s="167"/>
      <c r="E16" s="167"/>
      <c r="F16" s="167"/>
      <c r="G16" s="167"/>
      <c r="H16" s="167"/>
      <c r="I16" s="167"/>
      <c r="J16" s="167"/>
      <c r="K16" s="167"/>
      <c r="L16" s="167"/>
      <c r="M16" s="167"/>
      <c r="N16" s="167"/>
      <c r="O16" s="236"/>
      <c r="T16" s="24"/>
      <c r="U16" s="24"/>
      <c r="V16" s="24"/>
      <c r="W16" s="24"/>
      <c r="X16" s="24"/>
      <c r="Y16" s="24"/>
      <c r="Z16" s="24"/>
    </row>
    <row r="17" spans="1:26" ht="15" customHeight="1" x14ac:dyDescent="0.25">
      <c r="A17" s="236"/>
      <c r="B17" s="166"/>
      <c r="C17" s="167"/>
      <c r="D17" s="167"/>
      <c r="E17" s="167"/>
      <c r="F17" s="167"/>
      <c r="G17" s="167"/>
      <c r="H17" s="167"/>
      <c r="I17" s="167"/>
      <c r="J17" s="167"/>
      <c r="K17" s="167"/>
      <c r="L17" s="167"/>
      <c r="M17" s="167"/>
      <c r="N17" s="167"/>
      <c r="O17" s="236"/>
      <c r="T17" s="24"/>
      <c r="U17" s="24"/>
      <c r="V17" s="24"/>
      <c r="W17" s="24"/>
      <c r="X17" s="24"/>
      <c r="Y17" s="24"/>
      <c r="Z17" s="24"/>
    </row>
    <row r="18" spans="1:26" ht="15" customHeight="1" x14ac:dyDescent="0.25">
      <c r="A18" s="236"/>
      <c r="B18" s="166"/>
      <c r="C18" s="167"/>
      <c r="D18" s="167"/>
      <c r="E18" s="167"/>
      <c r="F18" s="167"/>
      <c r="G18" s="167"/>
      <c r="H18" s="167"/>
      <c r="I18" s="167"/>
      <c r="J18" s="167"/>
      <c r="K18" s="167"/>
      <c r="L18" s="167"/>
      <c r="M18" s="167"/>
      <c r="N18" s="167"/>
      <c r="O18" s="236"/>
      <c r="T18" s="24"/>
      <c r="U18" s="24"/>
      <c r="V18" s="24"/>
      <c r="W18" s="24"/>
      <c r="X18" s="24"/>
      <c r="Y18" s="24"/>
      <c r="Z18" s="24"/>
    </row>
    <row r="19" spans="1:26" ht="15" customHeight="1" x14ac:dyDescent="0.25">
      <c r="A19" s="236"/>
      <c r="B19" s="166"/>
      <c r="C19" s="167"/>
      <c r="D19" s="167"/>
      <c r="E19" s="167"/>
      <c r="F19" s="167"/>
      <c r="G19" s="167"/>
      <c r="H19" s="167"/>
      <c r="I19" s="167"/>
      <c r="J19" s="167"/>
      <c r="K19" s="167"/>
      <c r="L19" s="167"/>
      <c r="M19" s="167"/>
      <c r="N19" s="167"/>
      <c r="O19" s="236"/>
      <c r="T19" s="24"/>
      <c r="U19" s="24"/>
      <c r="V19" s="24"/>
      <c r="W19" s="24"/>
      <c r="X19" s="24"/>
      <c r="Y19" s="24"/>
      <c r="Z19" s="24"/>
    </row>
    <row r="20" spans="1:26" ht="15" customHeight="1" x14ac:dyDescent="0.25">
      <c r="A20" s="236"/>
      <c r="B20" s="166"/>
      <c r="C20" s="167"/>
      <c r="D20" s="167"/>
      <c r="E20" s="167"/>
      <c r="F20" s="167"/>
      <c r="G20" s="167"/>
      <c r="H20" s="167"/>
      <c r="I20" s="167"/>
      <c r="J20" s="167"/>
      <c r="K20" s="167"/>
      <c r="L20" s="167"/>
      <c r="M20" s="167"/>
      <c r="N20" s="167"/>
      <c r="O20" s="236"/>
      <c r="T20" s="24"/>
      <c r="U20" s="24"/>
      <c r="V20" s="24"/>
      <c r="W20" s="24"/>
      <c r="X20" s="24"/>
      <c r="Y20" s="24"/>
      <c r="Z20" s="24"/>
    </row>
    <row r="21" spans="1:26" ht="15" customHeight="1" x14ac:dyDescent="0.25">
      <c r="A21" s="236"/>
      <c r="B21" s="166"/>
      <c r="C21" s="167"/>
      <c r="D21" s="167"/>
      <c r="E21" s="167"/>
      <c r="F21" s="167"/>
      <c r="G21" s="167"/>
      <c r="H21" s="167"/>
      <c r="I21" s="167"/>
      <c r="J21" s="167"/>
      <c r="K21" s="167"/>
      <c r="L21" s="167"/>
      <c r="M21" s="167"/>
      <c r="N21" s="167"/>
      <c r="O21" s="236"/>
      <c r="T21" s="24"/>
      <c r="U21" s="24"/>
      <c r="V21" s="24"/>
      <c r="W21" s="24"/>
      <c r="X21" s="24"/>
      <c r="Y21" s="24"/>
      <c r="Z21" s="24"/>
    </row>
    <row r="22" spans="1:26" ht="15" customHeight="1" x14ac:dyDescent="0.25">
      <c r="A22" s="236"/>
      <c r="E22" s="42"/>
      <c r="O22" s="236"/>
      <c r="T22" s="24"/>
      <c r="U22" s="24"/>
      <c r="V22" s="24"/>
      <c r="W22" s="24"/>
      <c r="X22" s="24"/>
      <c r="Y22" s="24"/>
      <c r="Z22" s="24"/>
    </row>
    <row r="23" spans="1:26" ht="15" customHeight="1" thickBot="1" x14ac:dyDescent="0.3">
      <c r="A23" s="236"/>
      <c r="B23" s="239" t="s">
        <v>423</v>
      </c>
      <c r="C23" s="239"/>
      <c r="D23" s="239"/>
      <c r="E23" s="239"/>
      <c r="F23" s="239"/>
      <c r="G23" s="239"/>
      <c r="H23" s="239"/>
      <c r="I23" s="239"/>
      <c r="J23" s="239"/>
      <c r="K23" s="239"/>
      <c r="L23" s="239"/>
      <c r="M23" s="239"/>
      <c r="N23" s="239"/>
      <c r="O23" s="236"/>
      <c r="T23" s="75"/>
      <c r="U23" s="76"/>
      <c r="V23" s="24"/>
      <c r="W23" s="24"/>
      <c r="X23" s="75"/>
      <c r="Y23" s="76"/>
      <c r="Z23" s="24"/>
    </row>
    <row r="24" spans="1:26" ht="15" customHeight="1" thickBot="1" x14ac:dyDescent="0.3">
      <c r="A24" s="236"/>
      <c r="B24" s="27" t="s">
        <v>64</v>
      </c>
      <c r="C24" s="203"/>
      <c r="D24" s="81"/>
      <c r="E24" s="101" t="s">
        <v>108</v>
      </c>
      <c r="F24" s="74"/>
      <c r="G24" s="101" t="s">
        <v>109</v>
      </c>
      <c r="H24" s="74"/>
      <c r="I24" s="101" t="s">
        <v>110</v>
      </c>
      <c r="K24" s="283" t="s">
        <v>427</v>
      </c>
      <c r="L24" s="283"/>
      <c r="M24" s="217" t="s">
        <v>431</v>
      </c>
      <c r="O24" s="236"/>
      <c r="T24" s="75"/>
      <c r="U24" s="77"/>
      <c r="V24" s="24"/>
      <c r="W24" s="24"/>
      <c r="X24" s="75"/>
      <c r="Y24" s="77"/>
      <c r="Z24" s="24"/>
    </row>
    <row r="25" spans="1:26" ht="15" customHeight="1" thickTop="1" x14ac:dyDescent="0.25">
      <c r="A25" s="236"/>
      <c r="B25" s="92" t="s">
        <v>65</v>
      </c>
      <c r="C25" s="196"/>
      <c r="D25" s="160" t="s">
        <v>117</v>
      </c>
      <c r="E25" s="197"/>
      <c r="F25" s="160" t="s">
        <v>120</v>
      </c>
      <c r="G25" s="84" t="str">
        <f>IF(E25="","",E25)</f>
        <v/>
      </c>
      <c r="H25" s="160" t="s">
        <v>122</v>
      </c>
      <c r="I25" s="84" t="str">
        <f>IF(E25="","",IF(OR(C28=0,I28=0),0,E25))</f>
        <v/>
      </c>
      <c r="K25" s="284" t="s">
        <v>360</v>
      </c>
      <c r="L25" s="285"/>
      <c r="M25" s="214" t="s">
        <v>365</v>
      </c>
      <c r="O25" s="236"/>
      <c r="T25" s="75"/>
      <c r="U25" s="77"/>
      <c r="V25" s="24"/>
      <c r="W25" s="24"/>
      <c r="X25" s="75"/>
      <c r="Y25" s="77"/>
      <c r="Z25" s="24"/>
    </row>
    <row r="26" spans="1:26" ht="15" customHeight="1" x14ac:dyDescent="0.25">
      <c r="A26" s="236"/>
      <c r="B26" s="92" t="s">
        <v>67</v>
      </c>
      <c r="C26" s="197"/>
      <c r="D26" s="160" t="s">
        <v>118</v>
      </c>
      <c r="E26" s="198"/>
      <c r="F26" s="160" t="s">
        <v>121</v>
      </c>
      <c r="G26" s="84" t="str">
        <f t="shared" ref="G26:G27" si="0">IF(E26="","",E26)</f>
        <v/>
      </c>
      <c r="H26" s="160" t="s">
        <v>123</v>
      </c>
      <c r="I26" s="84" t="str">
        <f>IF(E26="","",IF(OR(C28=0,I28=0),0,E26))</f>
        <v/>
      </c>
      <c r="K26" s="175" t="s">
        <v>361</v>
      </c>
      <c r="L26" s="176" t="str">
        <f>IFERROR(E26/C25,"")</f>
        <v/>
      </c>
      <c r="M26" s="216" t="str">
        <f>IF(L26&lt;=2,"N/A",IF(AND(L26&lt;=3.504,L26&gt;2),IF($M$24="2bs/h",(2*C25)/E26,1.25-(0.125*L26)),""))</f>
        <v/>
      </c>
      <c r="O26" s="236"/>
      <c r="T26" s="75"/>
      <c r="U26" s="77"/>
      <c r="V26" s="24"/>
      <c r="W26" s="24"/>
      <c r="X26" s="75"/>
      <c r="Y26" s="77"/>
      <c r="Z26" s="24"/>
    </row>
    <row r="27" spans="1:26" ht="15" customHeight="1" x14ac:dyDescent="0.25">
      <c r="A27" s="236"/>
      <c r="B27" s="92" t="s">
        <v>69</v>
      </c>
      <c r="C27" s="198"/>
      <c r="D27" s="160" t="s">
        <v>127</v>
      </c>
      <c r="E27" s="198"/>
      <c r="F27" s="160" t="s">
        <v>119</v>
      </c>
      <c r="G27" s="84" t="str">
        <f t="shared" si="0"/>
        <v/>
      </c>
      <c r="H27" s="160" t="s">
        <v>124</v>
      </c>
      <c r="I27" s="84" t="str">
        <f>IF(E27="","",IF(OR(C28=0,I28=0),0,E27))</f>
        <v/>
      </c>
      <c r="K27" s="175" t="s">
        <v>362</v>
      </c>
      <c r="L27" s="176" t="str">
        <f>IFERROR(G26/C26,"")</f>
        <v/>
      </c>
      <c r="M27" s="216" t="str">
        <f>IF(L27&lt;=2,"N/A",IF(AND(L27&lt;=3.504,L27&gt;2),IF($M$24="2bs/h",(2*C26)/G26,1.25-(0.125*L27)),""))</f>
        <v/>
      </c>
      <c r="O27" s="236"/>
      <c r="T27" s="75"/>
      <c r="U27" s="77"/>
      <c r="V27" s="24"/>
      <c r="W27" s="24"/>
      <c r="X27" s="75"/>
      <c r="Y27" s="77"/>
      <c r="Z27" s="24"/>
    </row>
    <row r="28" spans="1:26" ht="15" customHeight="1" x14ac:dyDescent="0.25">
      <c r="A28" s="236"/>
      <c r="B28" s="92" t="s">
        <v>71</v>
      </c>
      <c r="C28" s="198"/>
      <c r="D28" s="155" t="s">
        <v>66</v>
      </c>
      <c r="E28" s="198"/>
      <c r="F28" s="155" t="s">
        <v>68</v>
      </c>
      <c r="G28" s="198"/>
      <c r="H28" s="155" t="s">
        <v>70</v>
      </c>
      <c r="I28" s="198"/>
      <c r="K28" s="175" t="s">
        <v>363</v>
      </c>
      <c r="L28" s="176" t="str">
        <f>IFERROR(I26/C27,"")</f>
        <v/>
      </c>
      <c r="M28" s="216" t="str">
        <f>IF(L28&lt;=2,"N/A",IF(AND(L28&lt;=3.504,L28&gt;2),IF($M$24="2bs/h",(2*C27)/I26,1.25-(0.125*L28)),""))</f>
        <v/>
      </c>
      <c r="O28" s="236"/>
      <c r="T28" s="24"/>
      <c r="U28" s="24"/>
      <c r="V28" s="24"/>
      <c r="W28" s="24"/>
      <c r="X28" s="24"/>
      <c r="Y28" s="24"/>
      <c r="Z28" s="24"/>
    </row>
    <row r="29" spans="1:26" ht="15" customHeight="1" x14ac:dyDescent="0.35">
      <c r="A29" s="236"/>
      <c r="B29" s="27" t="s">
        <v>63</v>
      </c>
      <c r="C29" s="84" t="str">
        <f>IF(E25="","",SUM(E25:E27))</f>
        <v/>
      </c>
      <c r="K29" s="175" t="s">
        <v>364</v>
      </c>
      <c r="L29" s="176" t="str">
        <f>IFERROR(I26/C28,"")</f>
        <v/>
      </c>
      <c r="M29" s="216" t="str">
        <f>IF(L29&lt;=2,"N/A",IF(AND(L29&lt;=3.504,L29&gt;2),IF($M$24="2bs/h",(2*C28)/I26,1.25-(0.125*L29)),""))</f>
        <v/>
      </c>
      <c r="N29" s="154"/>
      <c r="O29" s="236"/>
      <c r="T29" s="24"/>
      <c r="U29" s="24"/>
      <c r="V29" s="24"/>
    </row>
    <row r="30" spans="1:26" ht="15" customHeight="1" x14ac:dyDescent="0.35">
      <c r="A30" s="236"/>
      <c r="B30" s="92" t="s">
        <v>78</v>
      </c>
      <c r="C30" s="84" t="str">
        <f>IF(C25="","",C25+C26+C27+C28+E28+G28+I28)</f>
        <v/>
      </c>
      <c r="K30" s="249" t="str">
        <f>IF(MAX(L26:L29)&gt;3.5,"No Good. Aspect Ratios &gt; 3.5","")</f>
        <v/>
      </c>
      <c r="L30" s="249"/>
      <c r="M30" s="249"/>
      <c r="N30" s="154"/>
      <c r="O30" s="236"/>
      <c r="T30" s="24"/>
      <c r="U30" s="24"/>
      <c r="V30" s="24"/>
    </row>
    <row r="31" spans="1:26" ht="15" customHeight="1" x14ac:dyDescent="0.25">
      <c r="A31" s="236"/>
      <c r="N31" s="3"/>
      <c r="O31" s="236"/>
      <c r="T31" s="24"/>
      <c r="U31" s="24"/>
      <c r="V31" s="24"/>
    </row>
    <row r="32" spans="1:26" ht="15" customHeight="1" x14ac:dyDescent="0.35">
      <c r="A32" s="236"/>
      <c r="C32" s="78" t="s">
        <v>356</v>
      </c>
      <c r="D32" s="78"/>
      <c r="E32" s="78"/>
      <c r="F32" s="78"/>
      <c r="G32" s="127" t="str">
        <f>IFERROR(C24*C29/C30,"")</f>
        <v/>
      </c>
      <c r="I32" s="43"/>
      <c r="J32" s="89" t="s">
        <v>1</v>
      </c>
      <c r="K32" s="5"/>
      <c r="L32" s="5"/>
      <c r="M32" s="5"/>
      <c r="O32" s="236"/>
      <c r="T32" s="24"/>
      <c r="U32" s="24"/>
      <c r="V32" s="24"/>
    </row>
    <row r="33" spans="1:22" ht="15" customHeight="1" x14ac:dyDescent="0.25">
      <c r="A33" s="236"/>
      <c r="C33" s="46" t="s">
        <v>4</v>
      </c>
      <c r="D33" s="46"/>
      <c r="E33" s="46"/>
      <c r="F33" s="46"/>
      <c r="G33" s="88"/>
      <c r="J33" s="160"/>
      <c r="K33" s="278" t="s">
        <v>91</v>
      </c>
      <c r="L33" s="278"/>
      <c r="M33" s="86" t="str">
        <f>IFERROR(((C24/C30)*(C25+G52))/C25,"")</f>
        <v/>
      </c>
      <c r="O33" s="236"/>
      <c r="T33" s="24"/>
      <c r="U33" s="24"/>
      <c r="V33" s="24"/>
    </row>
    <row r="34" spans="1:22" ht="15" customHeight="1" x14ac:dyDescent="0.25">
      <c r="A34" s="236"/>
      <c r="C34" s="278" t="s">
        <v>131</v>
      </c>
      <c r="D34" s="278"/>
      <c r="E34" s="278"/>
      <c r="F34" s="278"/>
      <c r="G34" s="87" t="str">
        <f>IF(C24=0,"",IF(OR(E25=0,E27=0),"N/A",G32/(E25+E27)))</f>
        <v/>
      </c>
      <c r="J34" s="155"/>
      <c r="K34" s="275" t="s">
        <v>92</v>
      </c>
      <c r="L34" s="275"/>
      <c r="M34" s="86" t="str">
        <f>IFERROR(((C24/C30)*(C26+G53+G54))/C26,"")</f>
        <v/>
      </c>
      <c r="O34" s="236"/>
      <c r="T34" s="24"/>
      <c r="U34" s="24"/>
      <c r="V34" s="24"/>
    </row>
    <row r="35" spans="1:22" ht="15" customHeight="1" x14ac:dyDescent="0.25">
      <c r="A35" s="236"/>
      <c r="C35" s="275" t="s">
        <v>132</v>
      </c>
      <c r="D35" s="275"/>
      <c r="E35" s="275"/>
      <c r="F35" s="275"/>
      <c r="G35" s="87" t="str">
        <f>IF(C24=0,"",IF(OR(E25=0,E27=0),"N/A",G32/(G25+G27)))</f>
        <v/>
      </c>
      <c r="J35" s="155"/>
      <c r="K35" s="275" t="s">
        <v>93</v>
      </c>
      <c r="L35" s="275"/>
      <c r="M35" s="86" t="str">
        <f>IFERROR(((C24/C30)*(G55+C27+G56))/C27,"")</f>
        <v/>
      </c>
      <c r="O35" s="236"/>
      <c r="T35" s="24"/>
      <c r="U35" s="24"/>
      <c r="V35" s="24"/>
    </row>
    <row r="36" spans="1:22" ht="15" customHeight="1" x14ac:dyDescent="0.25">
      <c r="A36" s="236"/>
      <c r="C36" s="275" t="s">
        <v>133</v>
      </c>
      <c r="D36" s="275"/>
      <c r="E36" s="275"/>
      <c r="F36" s="275"/>
      <c r="G36" s="87" t="str">
        <f>IF(C24=0,"",IF(OR(E25=0,E27=0),"N/A",G32/(I25+I27)))</f>
        <v/>
      </c>
      <c r="J36" s="155"/>
      <c r="K36" s="275" t="s">
        <v>94</v>
      </c>
      <c r="L36" s="275"/>
      <c r="M36" s="87" t="str">
        <f>IFERROR(((C24/C30)*(G57+C28))/C28,"")</f>
        <v/>
      </c>
      <c r="O36" s="236"/>
      <c r="T36" s="24"/>
      <c r="U36" s="24"/>
      <c r="V36" s="24"/>
    </row>
    <row r="37" spans="1:22" ht="15" customHeight="1" x14ac:dyDescent="0.25">
      <c r="A37" s="236"/>
      <c r="C37" s="155"/>
      <c r="D37" s="155"/>
      <c r="E37" s="155"/>
      <c r="F37" s="155"/>
      <c r="G37" s="87"/>
      <c r="I37" s="275" t="s">
        <v>5</v>
      </c>
      <c r="J37" s="275"/>
      <c r="K37" s="275"/>
      <c r="L37" s="275"/>
      <c r="M37" s="127" t="str">
        <f>IFERROR(M33*$C$25+M34*$C$26+M35*$C$27+M36*C28,"")</f>
        <v/>
      </c>
      <c r="N37" s="73" t="str">
        <f>IF(C24=0,"",IF(M37=C24,"OK","NO GOOD"))</f>
        <v/>
      </c>
      <c r="O37" s="236"/>
      <c r="T37" s="24"/>
      <c r="U37" s="24"/>
      <c r="V37" s="24"/>
    </row>
    <row r="38" spans="1:22" ht="15" customHeight="1" x14ac:dyDescent="0.25">
      <c r="A38" s="236"/>
      <c r="C38" s="46" t="s">
        <v>0</v>
      </c>
      <c r="D38" s="46"/>
      <c r="E38" s="46"/>
      <c r="F38" s="46"/>
      <c r="G38" s="5"/>
      <c r="O38" s="236"/>
      <c r="T38" s="24"/>
      <c r="U38" s="24"/>
      <c r="V38" s="24"/>
    </row>
    <row r="39" spans="1:22" ht="15" customHeight="1" x14ac:dyDescent="0.25">
      <c r="A39" s="236"/>
      <c r="F39" s="155" t="s">
        <v>105</v>
      </c>
      <c r="G39" s="127" t="str">
        <f>IFERROR(G34*E28,"")</f>
        <v/>
      </c>
      <c r="H39" s="74"/>
      <c r="J39" s="89" t="s">
        <v>2</v>
      </c>
      <c r="K39" s="5"/>
      <c r="L39" s="5"/>
      <c r="M39" s="5"/>
      <c r="O39" s="236"/>
      <c r="T39" s="24"/>
      <c r="U39" s="24"/>
      <c r="V39" s="24"/>
    </row>
    <row r="40" spans="1:22" ht="15" customHeight="1" x14ac:dyDescent="0.25">
      <c r="A40" s="236"/>
      <c r="F40" s="155" t="s">
        <v>106</v>
      </c>
      <c r="G40" s="127" t="str">
        <f>IFERROR(G35*G28,"")</f>
        <v/>
      </c>
      <c r="K40" s="141"/>
      <c r="L40" s="141" t="s">
        <v>369</v>
      </c>
      <c r="M40" s="127" t="str">
        <f>IFERROR(M33*C25,"")</f>
        <v/>
      </c>
      <c r="O40" s="236"/>
      <c r="T40" s="24"/>
      <c r="U40" s="24"/>
    </row>
    <row r="41" spans="1:22" ht="15" customHeight="1" x14ac:dyDescent="0.25">
      <c r="A41" s="236"/>
      <c r="F41" s="155" t="s">
        <v>107</v>
      </c>
      <c r="G41" s="131" t="str">
        <f>IFERROR(G36*I28,"")</f>
        <v/>
      </c>
      <c r="K41" s="141"/>
      <c r="L41" s="141" t="s">
        <v>368</v>
      </c>
      <c r="M41" s="127" t="str">
        <f>IFERROR(M34*C26,"")</f>
        <v/>
      </c>
      <c r="O41" s="236"/>
      <c r="T41" s="24"/>
      <c r="U41" s="24"/>
    </row>
    <row r="42" spans="1:22" ht="15" customHeight="1" x14ac:dyDescent="0.25">
      <c r="A42" s="236"/>
      <c r="H42" s="43"/>
      <c r="K42" s="141"/>
      <c r="L42" s="141" t="s">
        <v>367</v>
      </c>
      <c r="M42" s="127" t="str">
        <f>IFERROR(M35*C27,"")</f>
        <v/>
      </c>
      <c r="O42" s="236"/>
      <c r="T42" s="24"/>
      <c r="U42" s="24"/>
    </row>
    <row r="43" spans="1:22" ht="15" customHeight="1" x14ac:dyDescent="0.25">
      <c r="A43" s="236"/>
      <c r="C43" s="46" t="s">
        <v>354</v>
      </c>
      <c r="D43" s="46"/>
      <c r="E43" s="46"/>
      <c r="F43" s="46"/>
      <c r="G43" s="5"/>
      <c r="H43" s="43"/>
      <c r="K43" s="92"/>
      <c r="L43" s="92" t="s">
        <v>370</v>
      </c>
      <c r="M43" s="131" t="str">
        <f>IFERROR(M36*C28,"")</f>
        <v/>
      </c>
      <c r="O43" s="236"/>
      <c r="T43" s="24"/>
      <c r="U43" s="24"/>
    </row>
    <row r="44" spans="1:22" ht="15" customHeight="1" x14ac:dyDescent="0.25">
      <c r="A44" s="236"/>
      <c r="F44" s="155" t="s">
        <v>72</v>
      </c>
      <c r="G44" s="127" t="str">
        <f>IFERROR((G39*C25)/(C25+C26),"")</f>
        <v/>
      </c>
      <c r="H44" s="43"/>
      <c r="O44" s="236"/>
      <c r="T44" s="24"/>
      <c r="U44" s="24"/>
    </row>
    <row r="45" spans="1:22" ht="15" customHeight="1" x14ac:dyDescent="0.25">
      <c r="A45" s="236"/>
      <c r="F45" s="155" t="s">
        <v>73</v>
      </c>
      <c r="G45" s="127" t="str">
        <f>IFERROR(G39*C26/(C25+C26),"")</f>
        <v/>
      </c>
      <c r="J45" s="89" t="s">
        <v>355</v>
      </c>
      <c r="K45" s="5"/>
      <c r="L45" s="5"/>
      <c r="M45" s="5"/>
      <c r="O45" s="236"/>
      <c r="T45" s="24"/>
      <c r="U45" s="24"/>
    </row>
    <row r="46" spans="1:22" ht="15" customHeight="1" x14ac:dyDescent="0.25">
      <c r="A46" s="236"/>
      <c r="F46" s="155" t="s">
        <v>74</v>
      </c>
      <c r="G46" s="127" t="str">
        <f>IFERROR(G40*C26/(C26+C27),"")</f>
        <v/>
      </c>
      <c r="K46" s="92"/>
      <c r="L46" s="92" t="s">
        <v>101</v>
      </c>
      <c r="M46" s="127" t="str">
        <f>IFERROR(M40-G44,"")</f>
        <v/>
      </c>
      <c r="O46" s="236"/>
      <c r="T46" s="24"/>
      <c r="U46" s="24"/>
    </row>
    <row r="47" spans="1:22" ht="15" customHeight="1" x14ac:dyDescent="0.25">
      <c r="A47" s="236"/>
      <c r="F47" s="155" t="s">
        <v>75</v>
      </c>
      <c r="G47" s="127" t="str">
        <f>IFERROR(G40*C27/(C26+C27),"")</f>
        <v/>
      </c>
      <c r="H47" s="43"/>
      <c r="K47" s="92"/>
      <c r="L47" s="92" t="s">
        <v>102</v>
      </c>
      <c r="M47" s="127" t="str">
        <f>IFERROR(M41-G45-G46,"")</f>
        <v/>
      </c>
      <c r="O47" s="236"/>
      <c r="T47" s="24"/>
      <c r="U47" s="24"/>
    </row>
    <row r="48" spans="1:22" ht="15" customHeight="1" x14ac:dyDescent="0.25">
      <c r="A48" s="236"/>
      <c r="F48" s="155" t="s">
        <v>76</v>
      </c>
      <c r="G48" s="131" t="str">
        <f>IFERROR(G41*C27/(C27+C28),"")</f>
        <v/>
      </c>
      <c r="H48" s="43"/>
      <c r="K48" s="92"/>
      <c r="L48" s="92" t="s">
        <v>103</v>
      </c>
      <c r="M48" s="127" t="str">
        <f>IFERROR(M42-G47-G48,"")</f>
        <v/>
      </c>
      <c r="O48" s="236"/>
      <c r="T48" s="24"/>
      <c r="U48" s="24"/>
    </row>
    <row r="49" spans="1:22" ht="15" customHeight="1" x14ac:dyDescent="0.25">
      <c r="A49" s="236"/>
      <c r="F49" s="155" t="s">
        <v>77</v>
      </c>
      <c r="G49" s="131" t="str">
        <f>IFERROR(G41*C28/(C27+C28),"")</f>
        <v/>
      </c>
      <c r="H49" s="43"/>
      <c r="K49" s="92"/>
      <c r="L49" s="92" t="s">
        <v>104</v>
      </c>
      <c r="M49" s="131" t="str">
        <f>IFERROR(M43-G49,"")</f>
        <v/>
      </c>
      <c r="O49" s="236"/>
      <c r="P49" s="4"/>
      <c r="Q49" s="4"/>
      <c r="R49" s="4"/>
      <c r="T49" s="24"/>
      <c r="U49" s="24"/>
    </row>
    <row r="50" spans="1:22" ht="15" customHeight="1" x14ac:dyDescent="0.25">
      <c r="A50" s="236"/>
      <c r="H50" s="43"/>
      <c r="O50" s="236"/>
      <c r="P50" s="4"/>
      <c r="Q50" s="4"/>
      <c r="R50" s="4"/>
      <c r="T50" s="24"/>
      <c r="U50" s="24"/>
    </row>
    <row r="51" spans="1:22" ht="15" customHeight="1" x14ac:dyDescent="0.25">
      <c r="A51" s="236"/>
      <c r="C51" s="46" t="s">
        <v>128</v>
      </c>
      <c r="D51" s="46"/>
      <c r="E51" s="46"/>
      <c r="F51" s="46"/>
      <c r="G51" s="46"/>
      <c r="J51" s="89" t="s">
        <v>3</v>
      </c>
      <c r="K51" s="5"/>
      <c r="L51" s="5"/>
      <c r="M51" s="5"/>
      <c r="O51" s="236"/>
      <c r="T51" s="24"/>
      <c r="U51" s="75"/>
    </row>
    <row r="52" spans="1:22" ht="15" customHeight="1" x14ac:dyDescent="0.25">
      <c r="A52" s="236"/>
      <c r="D52" s="275" t="s">
        <v>95</v>
      </c>
      <c r="E52" s="275"/>
      <c r="F52" s="275"/>
      <c r="G52" s="85" t="str">
        <f>IFERROR(C25*E28/(C25+C26),"")</f>
        <v/>
      </c>
      <c r="H52" s="43"/>
      <c r="K52" s="92"/>
      <c r="L52" s="92" t="s">
        <v>111</v>
      </c>
      <c r="M52" s="86" t="str">
        <f>IFERROR(M46/C25,"")</f>
        <v/>
      </c>
      <c r="O52" s="236"/>
      <c r="T52" s="24"/>
      <c r="U52" s="24"/>
    </row>
    <row r="53" spans="1:22" ht="15" customHeight="1" x14ac:dyDescent="0.25">
      <c r="A53" s="236"/>
      <c r="D53" s="275" t="s">
        <v>96</v>
      </c>
      <c r="E53" s="275"/>
      <c r="F53" s="275"/>
      <c r="G53" s="85" t="str">
        <f>IFERROR(C26*E28/(C25+C26),"")</f>
        <v/>
      </c>
      <c r="H53" s="43"/>
      <c r="K53" s="92"/>
      <c r="L53" s="92" t="s">
        <v>112</v>
      </c>
      <c r="M53" s="86" t="str">
        <f>IFERROR(M47/C26,"")</f>
        <v/>
      </c>
      <c r="O53" s="236"/>
      <c r="T53" s="24"/>
      <c r="U53" s="24"/>
    </row>
    <row r="54" spans="1:22" ht="15" customHeight="1" x14ac:dyDescent="0.25">
      <c r="A54" s="236"/>
      <c r="D54" s="275" t="s">
        <v>97</v>
      </c>
      <c r="E54" s="275"/>
      <c r="F54" s="275"/>
      <c r="G54" s="85" t="str">
        <f>IFERROR(C26*G28/(C26+C27),"")</f>
        <v/>
      </c>
      <c r="K54" s="92"/>
      <c r="L54" s="92" t="s">
        <v>113</v>
      </c>
      <c r="M54" s="86" t="str">
        <f>IFERROR(M48/C27,"")</f>
        <v/>
      </c>
      <c r="O54" s="236"/>
      <c r="T54" s="24"/>
      <c r="U54" s="24"/>
    </row>
    <row r="55" spans="1:22" ht="15" customHeight="1" x14ac:dyDescent="0.25">
      <c r="A55" s="236"/>
      <c r="D55" s="275" t="s">
        <v>98</v>
      </c>
      <c r="E55" s="275"/>
      <c r="F55" s="275"/>
      <c r="G55" s="85" t="str">
        <f>IFERROR(C27*G28/(C26+C27),"")</f>
        <v/>
      </c>
      <c r="K55" s="92"/>
      <c r="L55" s="92" t="s">
        <v>114</v>
      </c>
      <c r="M55" s="87" t="str">
        <f>IFERROR(M49/C28,"")</f>
        <v/>
      </c>
      <c r="O55" s="236"/>
      <c r="T55" s="24"/>
      <c r="U55" s="24"/>
    </row>
    <row r="56" spans="1:22" ht="15" customHeight="1" x14ac:dyDescent="0.25">
      <c r="A56" s="236"/>
      <c r="D56" s="275" t="s">
        <v>99</v>
      </c>
      <c r="E56" s="275"/>
      <c r="F56" s="275"/>
      <c r="G56" s="85" t="str">
        <f>IFERROR(C27*I28/(C27+C28),"")</f>
        <v/>
      </c>
      <c r="H56" s="43"/>
      <c r="O56" s="236"/>
      <c r="T56" s="24"/>
      <c r="U56" s="24"/>
    </row>
    <row r="57" spans="1:22" ht="15" customHeight="1" x14ac:dyDescent="0.25">
      <c r="A57" s="236"/>
      <c r="E57" s="275" t="s">
        <v>100</v>
      </c>
      <c r="F57" s="275"/>
      <c r="G57" s="85" t="str">
        <f>IFERROR((C28*I28)/(C27+C28),"")</f>
        <v/>
      </c>
      <c r="O57" s="236"/>
      <c r="T57" s="24"/>
      <c r="U57" s="24"/>
      <c r="V57" s="24"/>
    </row>
    <row r="58" spans="1:22" ht="15" customHeight="1" x14ac:dyDescent="0.25">
      <c r="A58" s="236"/>
      <c r="E58" s="155"/>
      <c r="F58" s="155"/>
      <c r="G58" s="85"/>
      <c r="O58" s="236"/>
      <c r="T58" s="24"/>
      <c r="U58" s="24"/>
      <c r="V58" s="24"/>
    </row>
    <row r="59" spans="1:22" x14ac:dyDescent="0.25">
      <c r="A59" s="236"/>
      <c r="F59" s="141"/>
      <c r="G59" s="85"/>
      <c r="O59" s="236"/>
    </row>
    <row r="60" spans="1:22" x14ac:dyDescent="0.25">
      <c r="A60" s="236"/>
      <c r="O60" s="236"/>
    </row>
    <row r="61" spans="1:22" x14ac:dyDescent="0.25">
      <c r="A61" s="236"/>
      <c r="O61" s="236"/>
      <c r="S61" s="80"/>
      <c r="T61" s="80"/>
      <c r="U61" s="80"/>
      <c r="V61" s="79"/>
    </row>
    <row r="62" spans="1:22" x14ac:dyDescent="0.25">
      <c r="A62" s="236"/>
      <c r="O62" s="236"/>
      <c r="S62" s="80"/>
      <c r="T62" s="80"/>
      <c r="U62" s="80"/>
      <c r="V62" s="79"/>
    </row>
    <row r="63" spans="1:22" x14ac:dyDescent="0.25">
      <c r="A63" s="236"/>
      <c r="O63" s="236"/>
      <c r="S63" s="80"/>
      <c r="T63" s="80"/>
      <c r="U63" s="80"/>
      <c r="V63" s="79"/>
    </row>
    <row r="64" spans="1:22" x14ac:dyDescent="0.25">
      <c r="A64" s="236"/>
      <c r="K64" s="92"/>
      <c r="O64" s="236"/>
      <c r="S64" s="80"/>
      <c r="T64" s="80"/>
      <c r="U64" s="80"/>
      <c r="V64" s="79"/>
    </row>
    <row r="65" spans="1:22" x14ac:dyDescent="0.25">
      <c r="A65" s="236"/>
      <c r="O65" s="236"/>
      <c r="S65" s="80"/>
      <c r="T65" s="80"/>
      <c r="U65" s="80"/>
      <c r="V65" s="21"/>
    </row>
    <row r="66" spans="1:22" x14ac:dyDescent="0.25">
      <c r="A66" s="236"/>
      <c r="O66" s="236"/>
      <c r="S66" s="80"/>
      <c r="T66" s="80"/>
      <c r="U66" s="80"/>
      <c r="V66" s="79"/>
    </row>
    <row r="67" spans="1:22" x14ac:dyDescent="0.25">
      <c r="A67" s="236"/>
      <c r="O67" s="236"/>
      <c r="S67" s="21"/>
      <c r="T67" s="21"/>
      <c r="U67" s="21"/>
      <c r="V67" s="79"/>
    </row>
    <row r="68" spans="1:22" x14ac:dyDescent="0.25">
      <c r="A68" s="236"/>
      <c r="O68" s="236"/>
      <c r="R68" s="21"/>
      <c r="S68" s="21"/>
      <c r="T68" s="21"/>
      <c r="U68" s="21"/>
      <c r="V68" s="21"/>
    </row>
    <row r="69" spans="1:22" x14ac:dyDescent="0.25">
      <c r="A69" s="236"/>
      <c r="O69" s="236"/>
      <c r="R69" s="21"/>
      <c r="S69" s="21"/>
      <c r="T69" s="21"/>
      <c r="U69" s="21"/>
      <c r="V69" s="21"/>
    </row>
    <row r="70" spans="1:22" x14ac:dyDescent="0.25">
      <c r="A70" s="236"/>
      <c r="O70" s="236"/>
      <c r="R70" s="21"/>
      <c r="S70" s="21"/>
      <c r="T70" s="21"/>
      <c r="U70" s="21"/>
      <c r="V70" s="21"/>
    </row>
    <row r="71" spans="1:22" x14ac:dyDescent="0.25">
      <c r="A71" s="236"/>
      <c r="O71" s="236"/>
      <c r="R71" s="21"/>
      <c r="S71" s="21"/>
      <c r="T71" s="21"/>
      <c r="U71" s="21"/>
      <c r="V71" s="21"/>
    </row>
    <row r="72" spans="1:22" ht="15.75" thickBot="1" x14ac:dyDescent="0.3">
      <c r="A72" s="236"/>
      <c r="C72" s="72" t="s">
        <v>79</v>
      </c>
      <c r="D72" s="72"/>
      <c r="E72" s="72"/>
      <c r="F72" s="72"/>
      <c r="G72" s="72"/>
      <c r="H72" s="72"/>
      <c r="I72" s="72"/>
      <c r="J72" s="72"/>
      <c r="O72" s="236"/>
    </row>
    <row r="73" spans="1:22" x14ac:dyDescent="0.25">
      <c r="A73" s="236"/>
      <c r="C73" s="47" t="s">
        <v>115</v>
      </c>
      <c r="D73" s="48"/>
      <c r="E73" s="48"/>
      <c r="F73" s="48"/>
      <c r="G73" s="48"/>
      <c r="H73" s="48"/>
      <c r="I73" s="48"/>
      <c r="J73" s="48"/>
      <c r="K73" s="50" t="str">
        <f>IFERROR($M$52*($E$25+$E$27),"")</f>
        <v/>
      </c>
      <c r="L73" s="50" t="str">
        <f>IFERROR($M$33*($E$26),"")</f>
        <v/>
      </c>
      <c r="M73" s="128" t="str">
        <f>IFERROR(L73+K73,"")</f>
        <v/>
      </c>
      <c r="O73" s="236"/>
    </row>
    <row r="74" spans="1:22" x14ac:dyDescent="0.25">
      <c r="A74" s="236"/>
      <c r="C74" s="49" t="s">
        <v>116</v>
      </c>
      <c r="D74" s="3"/>
      <c r="E74" s="3"/>
      <c r="F74" s="3"/>
      <c r="G74" s="23"/>
      <c r="H74" s="23"/>
      <c r="I74" s="23"/>
      <c r="J74" s="23" t="str">
        <f>IFERROR($G$34*($E$25+$E$27),"")</f>
        <v/>
      </c>
      <c r="K74" s="23" t="str">
        <f>IFERROR($M$52*($E$25+$E$27),"")</f>
        <v/>
      </c>
      <c r="L74" s="23" t="str">
        <f>IFERROR($M$33*$E$26,"")</f>
        <v/>
      </c>
      <c r="M74" s="90" t="str">
        <f>IFERROR(J74-K74-L74,"")</f>
        <v/>
      </c>
      <c r="O74" s="236"/>
    </row>
    <row r="75" spans="1:22" x14ac:dyDescent="0.25">
      <c r="A75" s="236"/>
      <c r="C75" s="49" t="s">
        <v>134</v>
      </c>
      <c r="D75" s="3"/>
      <c r="E75" s="3"/>
      <c r="F75" s="3"/>
      <c r="G75" s="23"/>
      <c r="H75" s="23"/>
      <c r="I75" s="23"/>
      <c r="J75" s="23" t="str">
        <f>IFERROR($M$53*($E$27+$E$25),"")</f>
        <v/>
      </c>
      <c r="K75" s="23" t="str">
        <f>IFERROR($M$34*($E$26),"")</f>
        <v/>
      </c>
      <c r="L75" s="23" t="str">
        <f>IFERROR($G$34*($E$25+$E$27),"")</f>
        <v/>
      </c>
      <c r="M75" s="90" t="str">
        <f>IFERROR(J75+K75-L75,"")</f>
        <v/>
      </c>
      <c r="O75" s="236"/>
    </row>
    <row r="76" spans="1:22" x14ac:dyDescent="0.25">
      <c r="A76" s="236"/>
      <c r="C76" s="49" t="s">
        <v>135</v>
      </c>
      <c r="D76" s="3"/>
      <c r="E76" s="3"/>
      <c r="F76" s="3"/>
      <c r="G76" s="3"/>
      <c r="H76" s="3"/>
      <c r="I76" s="3"/>
      <c r="J76" s="23" t="str">
        <f>IFERROR($G$35*($G$25+$G$27),"")</f>
        <v/>
      </c>
      <c r="K76" s="23" t="str">
        <f>IFERROR($M$34*($G$26),"")</f>
        <v/>
      </c>
      <c r="L76" s="23" t="str">
        <f>IFERROR($M$53*($G$25+$G$27),"")</f>
        <v/>
      </c>
      <c r="M76" s="90" t="str">
        <f>IFERROR(J76-K76-L76,"")</f>
        <v/>
      </c>
      <c r="O76" s="236"/>
    </row>
    <row r="77" spans="1:22" x14ac:dyDescent="0.25">
      <c r="A77" s="236"/>
      <c r="C77" s="49" t="s">
        <v>126</v>
      </c>
      <c r="D77" s="3"/>
      <c r="E77" s="3"/>
      <c r="F77" s="3"/>
      <c r="G77" s="23"/>
      <c r="H77" s="23"/>
      <c r="I77" s="23"/>
      <c r="J77" s="23" t="str">
        <f>IFERROR($G$35*($G$25+$G$27),"")</f>
        <v/>
      </c>
      <c r="K77" s="23" t="str">
        <f>IFERROR($M$54*($G$25+$G$27),"")</f>
        <v/>
      </c>
      <c r="L77" s="23" t="str">
        <f>IFERROR($M$35*($G$26),"")</f>
        <v/>
      </c>
      <c r="M77" s="90" t="str">
        <f>IFERROR(J77-K77-L77,"")</f>
        <v/>
      </c>
      <c r="O77" s="236"/>
    </row>
    <row r="78" spans="1:22" x14ac:dyDescent="0.25">
      <c r="A78" s="236"/>
      <c r="C78" s="49" t="s">
        <v>136</v>
      </c>
      <c r="D78" s="3"/>
      <c r="E78" s="3"/>
      <c r="F78" s="3"/>
      <c r="G78" s="23"/>
      <c r="H78" s="23"/>
      <c r="I78" s="23"/>
      <c r="J78" s="23" t="str">
        <f>IFERROR($G$36*($I$25+$I$27),"")</f>
        <v/>
      </c>
      <c r="K78" s="23" t="str">
        <f>IFERROR($M$35*($I$26),"")</f>
        <v/>
      </c>
      <c r="L78" s="23" t="str">
        <f>IFERROR($M$54*($I$25+$I$27),"")</f>
        <v/>
      </c>
      <c r="M78" s="90" t="str">
        <f>IFERROR(J78-K78-L78,"")</f>
        <v/>
      </c>
      <c r="O78" s="236"/>
    </row>
    <row r="79" spans="1:22" x14ac:dyDescent="0.25">
      <c r="A79" s="236"/>
      <c r="C79" s="49" t="s">
        <v>130</v>
      </c>
      <c r="D79" s="3"/>
      <c r="E79" s="3"/>
      <c r="F79" s="3"/>
      <c r="G79" s="23"/>
      <c r="H79" s="23"/>
      <c r="I79" s="23"/>
      <c r="J79" s="23" t="str">
        <f>IFERROR($G$36*($I$25+$I$27),"")</f>
        <v/>
      </c>
      <c r="K79" s="23" t="str">
        <f>IFERROR($M$55*($I$25+$I$27),"")</f>
        <v/>
      </c>
      <c r="L79" s="23" t="str">
        <f>IFERROR($M$36*$I$26,"")</f>
        <v/>
      </c>
      <c r="M79" s="90" t="str">
        <f>IFERROR(J79-K79-L79,"")</f>
        <v/>
      </c>
      <c r="O79" s="236"/>
    </row>
    <row r="80" spans="1:22" ht="15.75" thickBot="1" x14ac:dyDescent="0.3">
      <c r="A80" s="236"/>
      <c r="C80" s="9" t="s">
        <v>129</v>
      </c>
      <c r="D80" s="8"/>
      <c r="E80" s="8"/>
      <c r="F80" s="8"/>
      <c r="G80" s="8"/>
      <c r="H80" s="8"/>
      <c r="I80" s="8"/>
      <c r="J80" s="8"/>
      <c r="K80" s="51" t="str">
        <f>IFERROR($M$55*($I$25+$I$27),"")</f>
        <v/>
      </c>
      <c r="L80" s="51" t="str">
        <f>IFERROR($M$36*$I$26,"")</f>
        <v/>
      </c>
      <c r="M80" s="129" t="str">
        <f>IFERROR(L80+K80,"")</f>
        <v/>
      </c>
      <c r="O80" s="236"/>
    </row>
    <row r="81" spans="1:17" x14ac:dyDescent="0.25">
      <c r="A81" s="236"/>
      <c r="C81" s="3"/>
      <c r="D81" s="3"/>
      <c r="E81" s="3"/>
      <c r="F81" s="3"/>
      <c r="G81" s="3"/>
      <c r="H81" s="3"/>
      <c r="I81" s="3"/>
      <c r="J81" s="3"/>
      <c r="K81" s="23"/>
      <c r="L81" s="23"/>
      <c r="M81" s="100"/>
      <c r="O81" s="236"/>
    </row>
    <row r="82" spans="1:17" ht="21.75" thickBot="1" x14ac:dyDescent="0.4">
      <c r="A82" s="236"/>
      <c r="B82" s="276" t="s">
        <v>137</v>
      </c>
      <c r="C82" s="276"/>
      <c r="D82" s="276"/>
      <c r="E82" s="276"/>
      <c r="F82" s="276"/>
      <c r="G82" s="276"/>
      <c r="H82" s="276"/>
      <c r="I82" s="276"/>
      <c r="J82" s="276"/>
      <c r="K82" s="276"/>
      <c r="L82" s="276"/>
      <c r="M82" s="276"/>
      <c r="N82" s="276"/>
      <c r="O82" s="236"/>
    </row>
    <row r="83" spans="1:17" x14ac:dyDescent="0.25">
      <c r="A83" s="236"/>
      <c r="B83" s="262" t="s">
        <v>164</v>
      </c>
      <c r="C83" s="262"/>
      <c r="D83" s="262"/>
      <c r="E83" s="178" t="str">
        <f>IFERROR(IF(G34="N/A","N/A",MAX(IF(M26="N/A",M33,M33*(1/M26)),IF(M27="N/A",M34,M34*(1/M27)),IF(M28="N/A",M35,M35*(1/M28)),IF(M29="N/A",M36,M36*(1/M29)),G34:G36,ABS(M52),ABS(M53),ABS(M54),ABS(M55))),"")</f>
        <v/>
      </c>
      <c r="F83" s="210"/>
      <c r="G83" s="308" t="s">
        <v>138</v>
      </c>
      <c r="H83" s="309"/>
      <c r="I83" s="142" t="str">
        <f>IFERROR(L130,"")</f>
        <v/>
      </c>
      <c r="J83" s="282" t="s">
        <v>139</v>
      </c>
      <c r="K83" s="262"/>
      <c r="L83" s="277"/>
      <c r="M83" s="143" t="str">
        <f>IFERROR(J170,"")</f>
        <v/>
      </c>
      <c r="O83" s="236"/>
    </row>
    <row r="84" spans="1:17" ht="15.75" thickBot="1" x14ac:dyDescent="0.3">
      <c r="A84" s="236"/>
      <c r="B84" s="262" t="s">
        <v>90</v>
      </c>
      <c r="C84" s="262"/>
      <c r="D84" s="262"/>
      <c r="E84" s="130" t="str">
        <f>IF(G44="","",MAX(G44:G49))</f>
        <v/>
      </c>
      <c r="F84" s="53"/>
      <c r="G84" s="262" t="s">
        <v>140</v>
      </c>
      <c r="H84" s="277"/>
      <c r="I84" s="97" t="str">
        <f>IFERROR(L131,"")</f>
        <v/>
      </c>
      <c r="J84" s="261" t="s">
        <v>141</v>
      </c>
      <c r="K84" s="261"/>
      <c r="L84" s="277"/>
      <c r="M84" s="97" t="str">
        <f>IFERROR(IF(OR(I28=0,C28=0),'Two Openings'!J153,'Three Openings'!J171),"")</f>
        <v/>
      </c>
      <c r="O84" s="236"/>
    </row>
    <row r="85" spans="1:17" x14ac:dyDescent="0.25">
      <c r="A85" s="236"/>
      <c r="B85" s="261" t="s">
        <v>421</v>
      </c>
      <c r="C85" s="261"/>
      <c r="D85" s="262"/>
      <c r="E85" s="208" t="str">
        <f>G32</f>
        <v/>
      </c>
      <c r="I85" s="118" t="s">
        <v>158</v>
      </c>
      <c r="K85" s="96"/>
      <c r="L85" s="96"/>
      <c r="M85" s="118" t="s">
        <v>366</v>
      </c>
      <c r="O85" s="236"/>
    </row>
    <row r="86" spans="1:17" ht="18.75" thickBot="1" x14ac:dyDescent="0.4">
      <c r="A86" s="236"/>
      <c r="B86" s="261" t="s">
        <v>422</v>
      </c>
      <c r="C86" s="261"/>
      <c r="D86" s="261"/>
      <c r="E86" s="209" t="str">
        <f>IFERROR(C24/C30,"")</f>
        <v/>
      </c>
      <c r="G86" s="264" t="str">
        <f>IF(E83="","",IF(E83&gt;MAX(G34:G36,M33:M36),"Req. Sheathing Capacity has been adjusted per the Aspect Ratio Factor in SDPWS 4.3.4.2",""))</f>
        <v/>
      </c>
      <c r="H86" s="264"/>
      <c r="I86" s="264"/>
      <c r="J86" s="264"/>
      <c r="K86" s="264"/>
      <c r="L86" s="264"/>
      <c r="M86" s="264"/>
      <c r="O86" s="236"/>
    </row>
    <row r="87" spans="1:17" x14ac:dyDescent="0.25">
      <c r="A87" s="236"/>
      <c r="B87" s="25"/>
      <c r="C87" s="3"/>
      <c r="D87" s="3"/>
      <c r="E87" s="3"/>
      <c r="F87" s="3"/>
      <c r="G87" s="287" t="str">
        <f>IFERROR(IF($C$154="N/A","Sheathing and Nail Type are not a valid combination. Please review Nail Type input.",""),"")</f>
        <v/>
      </c>
      <c r="H87" s="287"/>
      <c r="I87" s="287"/>
      <c r="J87" s="287"/>
      <c r="K87" s="287"/>
      <c r="L87" s="287"/>
      <c r="M87" s="287"/>
      <c r="N87" s="287"/>
      <c r="O87" s="236"/>
    </row>
    <row r="88" spans="1:17" x14ac:dyDescent="0.25">
      <c r="A88" s="236"/>
      <c r="B88" s="232"/>
      <c r="C88" s="3"/>
      <c r="D88" s="3"/>
      <c r="E88" s="3"/>
      <c r="F88" s="3"/>
      <c r="G88" s="287" t="str">
        <f>IFERROR(IF($C$111="N/A","Sheathing Composition is not valid. Please review Sheathing inputs.",""),"")</f>
        <v/>
      </c>
      <c r="H88" s="287"/>
      <c r="I88" s="287"/>
      <c r="J88" s="287"/>
      <c r="K88" s="287"/>
      <c r="L88" s="287"/>
      <c r="M88" s="287"/>
      <c r="N88" s="287"/>
      <c r="O88" s="236"/>
    </row>
    <row r="89" spans="1:17" x14ac:dyDescent="0.25">
      <c r="A89" s="236"/>
      <c r="B89" s="232"/>
      <c r="C89" s="3"/>
      <c r="D89" s="3"/>
      <c r="E89" s="3"/>
      <c r="F89" s="3"/>
      <c r="G89" s="3"/>
      <c r="H89" s="3"/>
      <c r="I89" s="3"/>
      <c r="J89" s="3"/>
      <c r="K89" s="3"/>
      <c r="O89" s="236"/>
    </row>
    <row r="90" spans="1:17" ht="15.75" thickBot="1" x14ac:dyDescent="0.3">
      <c r="A90" s="236"/>
      <c r="B90" s="259" t="s">
        <v>424</v>
      </c>
      <c r="C90" s="259"/>
      <c r="D90" s="259"/>
      <c r="E90" s="259"/>
      <c r="F90" s="8"/>
      <c r="G90" s="8"/>
      <c r="H90" s="8"/>
      <c r="I90" s="8"/>
      <c r="J90" s="8"/>
      <c r="K90" s="8"/>
      <c r="L90" s="8"/>
      <c r="M90" s="8"/>
      <c r="N90" s="8"/>
      <c r="O90" s="236"/>
    </row>
    <row r="91" spans="1:17" x14ac:dyDescent="0.25">
      <c r="A91" s="236"/>
      <c r="B91" s="102" t="s">
        <v>33</v>
      </c>
      <c r="C91" s="72"/>
      <c r="D91" s="3"/>
      <c r="E91" s="3"/>
      <c r="G91" s="303" t="s">
        <v>147</v>
      </c>
      <c r="H91" s="303"/>
      <c r="I91" s="303"/>
      <c r="K91" s="54" t="s">
        <v>403</v>
      </c>
      <c r="L91" s="202"/>
      <c r="M91" s="3" t="s">
        <v>81</v>
      </c>
      <c r="N91" s="3"/>
      <c r="O91" s="236"/>
    </row>
    <row r="92" spans="1:17" x14ac:dyDescent="0.25">
      <c r="A92" s="236"/>
      <c r="B92" s="267"/>
      <c r="C92" s="267"/>
      <c r="D92" s="3" t="s">
        <v>154</v>
      </c>
      <c r="E92" s="3"/>
      <c r="G92" s="141" t="s">
        <v>186</v>
      </c>
      <c r="H92" s="304"/>
      <c r="I92" s="305"/>
      <c r="N92" s="3"/>
      <c r="O92" s="236"/>
    </row>
    <row r="93" spans="1:17" x14ac:dyDescent="0.25">
      <c r="A93" s="236"/>
      <c r="B93" s="270"/>
      <c r="C93" s="270"/>
      <c r="D93" s="103" t="s">
        <v>155</v>
      </c>
      <c r="E93" s="3"/>
      <c r="G93" s="54" t="s">
        <v>28</v>
      </c>
      <c r="H93" s="206"/>
      <c r="I93" s="3" t="s">
        <v>27</v>
      </c>
      <c r="L93" s="22" t="s">
        <v>83</v>
      </c>
      <c r="M93" s="95" t="s">
        <v>86</v>
      </c>
      <c r="N93" s="17"/>
      <c r="O93" s="236"/>
      <c r="P93" s="22" t="s">
        <v>84</v>
      </c>
      <c r="Q93" s="22" t="s">
        <v>85</v>
      </c>
    </row>
    <row r="94" spans="1:17" x14ac:dyDescent="0.25">
      <c r="A94" s="236"/>
      <c r="B94" s="271"/>
      <c r="C94" s="271"/>
      <c r="D94" s="3" t="s">
        <v>194</v>
      </c>
      <c r="E94" s="3"/>
      <c r="G94" s="141" t="s">
        <v>189</v>
      </c>
      <c r="H94" s="200"/>
      <c r="K94" s="54" t="s">
        <v>43</v>
      </c>
      <c r="L94" s="200"/>
      <c r="M94" s="134" t="str">
        <f>IF($L94="","",$L94)</f>
        <v/>
      </c>
      <c r="N94" t="s">
        <v>19</v>
      </c>
      <c r="O94" s="236"/>
      <c r="P94" s="134" t="str">
        <f>IF($L94="","",$L94)</f>
        <v/>
      </c>
      <c r="Q94" s="134" t="str">
        <f>IF($L94="","",$L94)</f>
        <v/>
      </c>
    </row>
    <row r="95" spans="1:17" x14ac:dyDescent="0.25">
      <c r="A95" s="236"/>
      <c r="B95" s="272"/>
      <c r="C95" s="272"/>
      <c r="D95" s="3"/>
      <c r="E95" s="3"/>
      <c r="G95" s="141" t="s">
        <v>187</v>
      </c>
      <c r="H95" s="207"/>
      <c r="K95" s="54" t="s">
        <v>53</v>
      </c>
      <c r="L95" s="207"/>
      <c r="M95" s="134" t="str">
        <f t="shared" ref="M95:M96" si="1">IF($L95="","",$L95)</f>
        <v/>
      </c>
      <c r="N95" s="3" t="s">
        <v>20</v>
      </c>
      <c r="O95" s="236"/>
      <c r="P95" s="134" t="str">
        <f t="shared" ref="P95:Q96" si="2">IF($L95="","",$L95)</f>
        <v/>
      </c>
      <c r="Q95" s="134" t="str">
        <f t="shared" si="2"/>
        <v/>
      </c>
    </row>
    <row r="96" spans="1:17" ht="17.25" x14ac:dyDescent="0.25">
      <c r="A96" s="236"/>
      <c r="B96" s="273"/>
      <c r="C96" s="274"/>
      <c r="D96" s="24" t="s">
        <v>343</v>
      </c>
      <c r="E96" s="3"/>
      <c r="G96" s="54" t="s">
        <v>25</v>
      </c>
      <c r="H96" s="125" t="str">
        <f>IF(H95="","",VLOOKUP(H95,Table2[],2,FALSE)*H94)</f>
        <v/>
      </c>
      <c r="I96" s="3" t="s">
        <v>191</v>
      </c>
      <c r="K96" s="54" t="s">
        <v>352</v>
      </c>
      <c r="L96" s="200"/>
      <c r="M96" s="134" t="str">
        <f t="shared" si="1"/>
        <v/>
      </c>
      <c r="N96" t="s">
        <v>19</v>
      </c>
      <c r="O96" s="236"/>
      <c r="P96" s="134" t="str">
        <f t="shared" si="2"/>
        <v/>
      </c>
      <c r="Q96" s="134" t="str">
        <f t="shared" si="2"/>
        <v/>
      </c>
    </row>
    <row r="97" spans="1:17" ht="17.25" x14ac:dyDescent="0.25">
      <c r="A97" s="236"/>
      <c r="B97" s="273"/>
      <c r="C97" s="274"/>
      <c r="D97" s="24" t="s">
        <v>344</v>
      </c>
      <c r="E97" s="3"/>
      <c r="G97" s="141" t="s">
        <v>185</v>
      </c>
      <c r="H97" s="201"/>
      <c r="I97" t="s">
        <v>191</v>
      </c>
      <c r="J97" s="54"/>
      <c r="K97" s="17"/>
      <c r="L97" s="17"/>
      <c r="M97" s="3"/>
      <c r="O97" s="236"/>
      <c r="P97" s="17"/>
      <c r="Q97" s="17"/>
    </row>
    <row r="98" spans="1:17" x14ac:dyDescent="0.25">
      <c r="A98" s="236"/>
      <c r="E98" s="3"/>
      <c r="F98" s="141"/>
      <c r="G98" s="24"/>
      <c r="J98" s="54"/>
      <c r="K98" s="17"/>
      <c r="L98" s="17"/>
      <c r="M98" s="3"/>
      <c r="O98" s="236"/>
      <c r="P98" s="17"/>
      <c r="Q98" s="17"/>
    </row>
    <row r="99" spans="1:17" ht="15.75" thickBot="1" x14ac:dyDescent="0.3">
      <c r="A99" s="236"/>
      <c r="B99" s="259" t="s">
        <v>87</v>
      </c>
      <c r="C99" s="259"/>
      <c r="D99" s="259"/>
      <c r="E99" s="259"/>
      <c r="F99" s="259"/>
      <c r="G99" s="3"/>
      <c r="H99" s="3"/>
      <c r="I99" s="3"/>
      <c r="J99" s="3"/>
      <c r="O99" s="236"/>
    </row>
    <row r="100" spans="1:17" x14ac:dyDescent="0.25">
      <c r="A100" s="236"/>
      <c r="C100" s="3"/>
      <c r="D100" s="3"/>
      <c r="E100" s="3"/>
      <c r="F100" s="3"/>
      <c r="G100" s="3"/>
      <c r="H100" s="3"/>
      <c r="I100" s="3"/>
      <c r="J100" s="3"/>
      <c r="K100" s="3"/>
      <c r="O100" s="236"/>
    </row>
    <row r="101" spans="1:17" x14ac:dyDescent="0.25">
      <c r="A101" s="236"/>
      <c r="C101" s="3"/>
      <c r="D101" s="3"/>
      <c r="E101" s="3"/>
      <c r="F101" s="3"/>
      <c r="G101" s="3"/>
      <c r="H101" s="3"/>
      <c r="I101" s="3"/>
      <c r="J101" s="3"/>
      <c r="K101" s="3"/>
      <c r="O101" s="236"/>
    </row>
    <row r="102" spans="1:17" x14ac:dyDescent="0.25">
      <c r="A102" s="236"/>
      <c r="C102" s="3"/>
      <c r="D102" s="3"/>
      <c r="E102" s="3"/>
      <c r="F102" s="3"/>
      <c r="G102" s="3"/>
      <c r="H102" s="3"/>
      <c r="I102" s="3"/>
      <c r="J102" s="3"/>
      <c r="K102" s="3"/>
      <c r="O102" s="236"/>
    </row>
    <row r="103" spans="1:17" ht="15.75" thickBot="1" x14ac:dyDescent="0.3">
      <c r="A103" s="236"/>
      <c r="C103" s="63" t="s">
        <v>37</v>
      </c>
      <c r="D103" s="64" t="s">
        <v>36</v>
      </c>
      <c r="E103" s="63" t="s">
        <v>35</v>
      </c>
      <c r="F103" s="64" t="s">
        <v>34</v>
      </c>
      <c r="G103" s="63" t="s">
        <v>50</v>
      </c>
      <c r="H103" s="64" t="s">
        <v>49</v>
      </c>
      <c r="I103" s="63" t="s">
        <v>51</v>
      </c>
      <c r="J103" s="64" t="s">
        <v>52</v>
      </c>
      <c r="K103" s="3"/>
      <c r="O103" s="236"/>
    </row>
    <row r="104" spans="1:17" ht="15.75" thickTop="1" x14ac:dyDescent="0.25">
      <c r="A104" s="236"/>
      <c r="B104" s="2" t="s">
        <v>33</v>
      </c>
      <c r="C104" s="105" t="str">
        <f>IF(B93="","",B93)</f>
        <v/>
      </c>
      <c r="D104" s="106" t="str">
        <f>IF(B93="","",B93)</f>
        <v/>
      </c>
      <c r="E104" s="105" t="str">
        <f>IF(B93="","",B93)</f>
        <v/>
      </c>
      <c r="F104" s="106" t="str">
        <f>IF(B93="","",B93)</f>
        <v/>
      </c>
      <c r="G104" s="105" t="str">
        <f>IF(B93="","",B93)</f>
        <v/>
      </c>
      <c r="H104" s="106" t="str">
        <f>IF(B93="","",B93)</f>
        <v/>
      </c>
      <c r="I104" s="105" t="str">
        <f>IF(B93="","",B93)</f>
        <v/>
      </c>
      <c r="J104" s="106" t="str">
        <f>IF(B93="","",B93)</f>
        <v/>
      </c>
      <c r="K104" s="3"/>
      <c r="L104" s="260" t="str">
        <f>IFERROR(IF($C$111="N/A","Sheathing Composition is not valid. Please review Sheathing inputs.",""),"")</f>
        <v/>
      </c>
      <c r="M104" s="260"/>
      <c r="N104" s="260"/>
      <c r="O104" s="236"/>
    </row>
    <row r="105" spans="1:17" ht="15.75" thickBot="1" x14ac:dyDescent="0.3">
      <c r="A105" s="236"/>
      <c r="B105" s="2" t="s">
        <v>32</v>
      </c>
      <c r="C105" s="36">
        <f>L91</f>
        <v>0</v>
      </c>
      <c r="D105" s="35">
        <f>L91</f>
        <v>0</v>
      </c>
      <c r="E105" s="36">
        <f>L91</f>
        <v>0</v>
      </c>
      <c r="F105" s="35">
        <f>L91</f>
        <v>0</v>
      </c>
      <c r="G105" s="36">
        <f>L91</f>
        <v>0</v>
      </c>
      <c r="H105" s="35">
        <f>L91</f>
        <v>0</v>
      </c>
      <c r="I105" s="36">
        <f>L91</f>
        <v>0</v>
      </c>
      <c r="J105" s="35">
        <f>L91</f>
        <v>0</v>
      </c>
      <c r="K105" s="3"/>
      <c r="L105" s="260"/>
      <c r="M105" s="260"/>
      <c r="N105" s="260"/>
      <c r="O105" s="236"/>
    </row>
    <row r="106" spans="1:17" ht="18" x14ac:dyDescent="0.35">
      <c r="A106" s="236"/>
      <c r="B106" s="2" t="s">
        <v>31</v>
      </c>
      <c r="C106" s="55" t="str">
        <f>M33</f>
        <v/>
      </c>
      <c r="D106" s="32" t="str">
        <f>C106</f>
        <v/>
      </c>
      <c r="E106" s="55" t="str">
        <f>M34</f>
        <v/>
      </c>
      <c r="F106" s="32" t="str">
        <f>E106</f>
        <v/>
      </c>
      <c r="G106" s="55" t="str">
        <f>M35</f>
        <v/>
      </c>
      <c r="H106" s="32" t="str">
        <f>G106</f>
        <v/>
      </c>
      <c r="I106" s="55" t="str">
        <f>M36</f>
        <v/>
      </c>
      <c r="J106" s="32" t="str">
        <f>I106</f>
        <v/>
      </c>
      <c r="K106" s="41" t="s">
        <v>29</v>
      </c>
      <c r="O106" s="236"/>
    </row>
    <row r="107" spans="1:17" ht="18" x14ac:dyDescent="0.35">
      <c r="A107" s="236"/>
      <c r="B107" s="2" t="s">
        <v>30</v>
      </c>
      <c r="C107" s="55" t="str">
        <f t="shared" ref="C107:J107" si="3">IFERROR(C106/0.7,"")</f>
        <v/>
      </c>
      <c r="D107" s="32" t="str">
        <f t="shared" si="3"/>
        <v/>
      </c>
      <c r="E107" s="55" t="str">
        <f t="shared" si="3"/>
        <v/>
      </c>
      <c r="F107" s="32" t="str">
        <f t="shared" si="3"/>
        <v/>
      </c>
      <c r="G107" s="55" t="str">
        <f t="shared" si="3"/>
        <v/>
      </c>
      <c r="H107" s="32" t="str">
        <f t="shared" si="3"/>
        <v/>
      </c>
      <c r="I107" s="55" t="str">
        <f t="shared" si="3"/>
        <v/>
      </c>
      <c r="J107" s="32" t="str">
        <f t="shared" si="3"/>
        <v/>
      </c>
      <c r="K107" s="41" t="s">
        <v>29</v>
      </c>
      <c r="O107" s="236"/>
    </row>
    <row r="108" spans="1:17" x14ac:dyDescent="0.25">
      <c r="A108" s="236"/>
      <c r="B108" s="2" t="s">
        <v>28</v>
      </c>
      <c r="C108" s="37" t="str">
        <f>IF($H$93="","",$H$93)</f>
        <v/>
      </c>
      <c r="D108" s="29" t="str">
        <f t="shared" ref="D108:J108" si="4">IF($H$93="","",$H$93)</f>
        <v/>
      </c>
      <c r="E108" s="37" t="str">
        <f t="shared" si="4"/>
        <v/>
      </c>
      <c r="F108" s="29" t="str">
        <f t="shared" si="4"/>
        <v/>
      </c>
      <c r="G108" s="37" t="str">
        <f t="shared" si="4"/>
        <v/>
      </c>
      <c r="H108" s="29" t="str">
        <f t="shared" si="4"/>
        <v/>
      </c>
      <c r="I108" s="37" t="str">
        <f t="shared" si="4"/>
        <v/>
      </c>
      <c r="J108" s="29" t="str">
        <f t="shared" si="4"/>
        <v/>
      </c>
      <c r="K108" s="41" t="s">
        <v>27</v>
      </c>
      <c r="L108" s="21"/>
      <c r="M108" s="21"/>
      <c r="O108" s="236"/>
    </row>
    <row r="109" spans="1:17" x14ac:dyDescent="0.25">
      <c r="A109" s="236"/>
      <c r="B109" s="2" t="s">
        <v>26</v>
      </c>
      <c r="C109" s="38" t="str">
        <f>C29</f>
        <v/>
      </c>
      <c r="D109" s="30" t="str">
        <f>IF(C29="","",C29-E27)</f>
        <v/>
      </c>
      <c r="E109" s="38" t="str">
        <f>$D$109</f>
        <v/>
      </c>
      <c r="F109" s="30" t="str">
        <f>$D$109</f>
        <v/>
      </c>
      <c r="G109" s="38" t="str">
        <f>$D$109</f>
        <v/>
      </c>
      <c r="H109" s="30" t="str">
        <f>$D$109</f>
        <v/>
      </c>
      <c r="I109" s="38" t="str">
        <f>$D$109</f>
        <v/>
      </c>
      <c r="J109" s="30" t="str">
        <f>C109</f>
        <v/>
      </c>
      <c r="K109" s="41" t="s">
        <v>21</v>
      </c>
      <c r="L109" s="21"/>
      <c r="M109" s="21"/>
      <c r="O109" s="236"/>
    </row>
    <row r="110" spans="1:17" ht="17.25" x14ac:dyDescent="0.25">
      <c r="A110" s="236"/>
      <c r="B110" s="2" t="s">
        <v>25</v>
      </c>
      <c r="C110" s="39" t="str">
        <f>IF($H$97="",$H$96,$H$97)</f>
        <v/>
      </c>
      <c r="D110" s="28" t="str">
        <f t="shared" ref="D110:J110" si="5">$C$110</f>
        <v/>
      </c>
      <c r="E110" s="39" t="str">
        <f t="shared" si="5"/>
        <v/>
      </c>
      <c r="F110" s="28" t="str">
        <f t="shared" si="5"/>
        <v/>
      </c>
      <c r="G110" s="39" t="str">
        <f t="shared" si="5"/>
        <v/>
      </c>
      <c r="H110" s="28" t="str">
        <f t="shared" si="5"/>
        <v/>
      </c>
      <c r="I110" s="39" t="str">
        <f t="shared" si="5"/>
        <v/>
      </c>
      <c r="J110" s="28" t="str">
        <f t="shared" si="5"/>
        <v/>
      </c>
      <c r="K110" s="41" t="s">
        <v>191</v>
      </c>
      <c r="M110" s="21"/>
      <c r="O110" s="236"/>
    </row>
    <row r="111" spans="1:17" x14ac:dyDescent="0.25">
      <c r="A111" s="236"/>
      <c r="B111" s="2" t="s">
        <v>45</v>
      </c>
      <c r="C111" s="40" t="str">
        <f>IF($B$96="",IF(B92="OSB",VLOOKUP(B92&amp;B93&amp;B94,Table11[],3,FALSE),IF(B92="Plywood",VLOOKUP(B92&amp;B93&amp;B94,Table11[],3,FALSE),"")),$B$96)</f>
        <v/>
      </c>
      <c r="D111" s="31" t="str">
        <f t="shared" ref="D111:J111" si="6">C111</f>
        <v/>
      </c>
      <c r="E111" s="40" t="str">
        <f t="shared" si="6"/>
        <v/>
      </c>
      <c r="F111" s="31" t="str">
        <f t="shared" si="6"/>
        <v/>
      </c>
      <c r="G111" s="40" t="str">
        <f t="shared" si="6"/>
        <v/>
      </c>
      <c r="H111" s="31" t="str">
        <f t="shared" si="6"/>
        <v/>
      </c>
      <c r="I111" s="40" t="str">
        <f t="shared" si="6"/>
        <v/>
      </c>
      <c r="J111" s="31" t="str">
        <f t="shared" si="6"/>
        <v/>
      </c>
      <c r="K111" s="41" t="s">
        <v>44</v>
      </c>
      <c r="M111" s="21"/>
      <c r="O111" s="236"/>
    </row>
    <row r="112" spans="1:17" x14ac:dyDescent="0.25">
      <c r="A112" s="236"/>
      <c r="B112" s="2" t="s">
        <v>43</v>
      </c>
      <c r="C112" s="39" t="str">
        <f>IF(L94="","",L94)</f>
        <v/>
      </c>
      <c r="D112" s="28" t="str">
        <f>C112</f>
        <v/>
      </c>
      <c r="E112" s="39" t="str">
        <f>P94</f>
        <v/>
      </c>
      <c r="F112" s="28" t="str">
        <f>E112</f>
        <v/>
      </c>
      <c r="G112" s="39" t="str">
        <f>M94</f>
        <v/>
      </c>
      <c r="H112" s="28" t="str">
        <f>G112</f>
        <v/>
      </c>
      <c r="I112" s="39" t="str">
        <f>M94</f>
        <v/>
      </c>
      <c r="J112" s="28" t="str">
        <f>I112</f>
        <v/>
      </c>
      <c r="K112" s="41" t="s">
        <v>19</v>
      </c>
      <c r="M112" s="21"/>
      <c r="O112" s="236"/>
    </row>
    <row r="113" spans="1:15" x14ac:dyDescent="0.25">
      <c r="A113" s="236"/>
      <c r="B113" s="2" t="s">
        <v>42</v>
      </c>
      <c r="C113" s="55" t="str">
        <f t="shared" ref="C113:J113" si="7">IFERROR(C107/(12/C112),"")</f>
        <v/>
      </c>
      <c r="D113" s="32" t="str">
        <f t="shared" si="7"/>
        <v/>
      </c>
      <c r="E113" s="55" t="str">
        <f t="shared" si="7"/>
        <v/>
      </c>
      <c r="F113" s="32" t="str">
        <f t="shared" si="7"/>
        <v/>
      </c>
      <c r="G113" s="55" t="str">
        <f t="shared" si="7"/>
        <v/>
      </c>
      <c r="H113" s="32" t="str">
        <f t="shared" si="7"/>
        <v/>
      </c>
      <c r="I113" s="55" t="str">
        <f t="shared" si="7"/>
        <v/>
      </c>
      <c r="J113" s="32" t="str">
        <f t="shared" si="7"/>
        <v/>
      </c>
      <c r="K113" s="41" t="s">
        <v>29</v>
      </c>
      <c r="M113" s="21"/>
      <c r="O113" s="236"/>
    </row>
    <row r="114" spans="1:15" x14ac:dyDescent="0.25">
      <c r="A114" s="236"/>
      <c r="B114" s="2" t="s">
        <v>41</v>
      </c>
      <c r="C114" s="56" t="str">
        <f>IFERROR(IF(L91="8d common",(C113/616)^3.018,IF(L91="10d common",(C113/769)^3.276,"Fix")),"")</f>
        <v>Fix</v>
      </c>
      <c r="D114" s="33" t="str">
        <f>C114</f>
        <v>Fix</v>
      </c>
      <c r="E114" s="56" t="str">
        <f>IFERROR(IF(L91="8d common",(E113/616)^3.018,IF(L91="10d common",(E113/769)^3.276,"Fix")),"")</f>
        <v>Fix</v>
      </c>
      <c r="F114" s="33" t="str">
        <f>E114</f>
        <v>Fix</v>
      </c>
      <c r="G114" s="56" t="str">
        <f>IFERROR(IF(L91="8d common",(G113/616)^3.018,IF(L91="10d common",(G113/769)^3.276,"Fix")),"")</f>
        <v>Fix</v>
      </c>
      <c r="H114" s="33" t="str">
        <f>G114</f>
        <v>Fix</v>
      </c>
      <c r="I114" s="56" t="str">
        <f>IFERROR(IF(L91="8d common",(I113/616)^3.018,IF(L91="10d common",(I113/769)^3.276,"Fix")),"")</f>
        <v>Fix</v>
      </c>
      <c r="J114" s="33" t="str">
        <f>I114</f>
        <v>Fix</v>
      </c>
      <c r="K114" s="41" t="s">
        <v>19</v>
      </c>
      <c r="M114" s="21"/>
      <c r="O114" s="236"/>
    </row>
    <row r="115" spans="1:15" x14ac:dyDescent="0.25">
      <c r="A115" s="236"/>
      <c r="B115" s="2" t="s">
        <v>22</v>
      </c>
      <c r="C115" s="38" t="str">
        <f>IF(C25="","",C25)</f>
        <v/>
      </c>
      <c r="D115" s="30" t="str">
        <f>C115</f>
        <v/>
      </c>
      <c r="E115" s="38" t="str">
        <f>IF(C26="","",C26)</f>
        <v/>
      </c>
      <c r="F115" s="30" t="str">
        <f>E115</f>
        <v/>
      </c>
      <c r="G115" s="38" t="str">
        <f>IF(C27="","",C27)</f>
        <v/>
      </c>
      <c r="H115" s="30" t="str">
        <f>G115</f>
        <v/>
      </c>
      <c r="I115" s="38" t="str">
        <f>IF(C28="","",C28)</f>
        <v/>
      </c>
      <c r="J115" s="30" t="str">
        <f>I115</f>
        <v/>
      </c>
      <c r="K115" s="41" t="s">
        <v>21</v>
      </c>
      <c r="M115" s="21"/>
      <c r="O115" s="236"/>
    </row>
    <row r="116" spans="1:15" x14ac:dyDescent="0.25">
      <c r="A116" s="236"/>
      <c r="B116" s="2" t="s">
        <v>53</v>
      </c>
      <c r="C116" s="39" t="str">
        <f>IF(L95="","",L95)</f>
        <v/>
      </c>
      <c r="D116" s="28" t="str">
        <f>C116</f>
        <v/>
      </c>
      <c r="E116" s="39" t="str">
        <f>P95</f>
        <v/>
      </c>
      <c r="F116" s="28" t="str">
        <f>E116</f>
        <v/>
      </c>
      <c r="G116" s="39" t="str">
        <f>Q95</f>
        <v/>
      </c>
      <c r="H116" s="28" t="str">
        <f>G116</f>
        <v/>
      </c>
      <c r="I116" s="39" t="str">
        <f>M95</f>
        <v/>
      </c>
      <c r="J116" s="28" t="str">
        <f>I116</f>
        <v/>
      </c>
      <c r="K116" s="41" t="s">
        <v>20</v>
      </c>
      <c r="M116" s="21"/>
      <c r="O116" s="236"/>
    </row>
    <row r="117" spans="1:15" x14ac:dyDescent="0.25">
      <c r="A117" s="236"/>
      <c r="B117" s="2" t="s">
        <v>48</v>
      </c>
      <c r="C117" s="62" t="str">
        <f>IF(L96="","",L96)</f>
        <v/>
      </c>
      <c r="D117" s="34" t="str">
        <f>C117</f>
        <v/>
      </c>
      <c r="E117" s="62" t="str">
        <f>P96</f>
        <v/>
      </c>
      <c r="F117" s="34" t="str">
        <f>E117</f>
        <v/>
      </c>
      <c r="G117" s="62" t="str">
        <f>Q96</f>
        <v/>
      </c>
      <c r="H117" s="34" t="str">
        <f>G117</f>
        <v/>
      </c>
      <c r="I117" s="62" t="str">
        <f>M96</f>
        <v/>
      </c>
      <c r="J117" s="34" t="str">
        <f>I117</f>
        <v/>
      </c>
      <c r="K117" s="41" t="s">
        <v>19</v>
      </c>
      <c r="M117" s="21"/>
      <c r="O117" s="236"/>
    </row>
    <row r="118" spans="1:15" x14ac:dyDescent="0.25">
      <c r="A118" s="236"/>
      <c r="M118" s="21"/>
      <c r="O118" s="236"/>
    </row>
    <row r="119" spans="1:15" ht="15.75" thickBot="1" x14ac:dyDescent="0.3">
      <c r="A119" s="236"/>
      <c r="C119" s="6" t="s">
        <v>82</v>
      </c>
      <c r="M119" s="21"/>
      <c r="O119" s="236"/>
    </row>
    <row r="120" spans="1:15" x14ac:dyDescent="0.25">
      <c r="A120" s="236"/>
      <c r="C120" s="252" t="s">
        <v>18</v>
      </c>
      <c r="D120" s="253"/>
      <c r="E120" s="253"/>
      <c r="F120" s="254"/>
      <c r="G120" s="252" t="s">
        <v>17</v>
      </c>
      <c r="H120" s="253"/>
      <c r="I120" s="253"/>
      <c r="J120" s="254"/>
      <c r="O120" s="236"/>
    </row>
    <row r="121" spans="1:15" x14ac:dyDescent="0.25">
      <c r="A121" s="236"/>
      <c r="C121" s="20" t="s">
        <v>12</v>
      </c>
      <c r="D121" s="19" t="s">
        <v>11</v>
      </c>
      <c r="E121" s="19" t="s">
        <v>10</v>
      </c>
      <c r="F121" s="18" t="s">
        <v>40</v>
      </c>
      <c r="G121" s="20" t="s">
        <v>12</v>
      </c>
      <c r="H121" s="19" t="s">
        <v>11</v>
      </c>
      <c r="I121" s="19" t="s">
        <v>10</v>
      </c>
      <c r="J121" s="18" t="s">
        <v>40</v>
      </c>
      <c r="O121" s="236"/>
    </row>
    <row r="122" spans="1:15" x14ac:dyDescent="0.25">
      <c r="A122" s="236"/>
      <c r="C122" s="16" t="s">
        <v>8</v>
      </c>
      <c r="D122" s="15" t="s">
        <v>7</v>
      </c>
      <c r="E122" s="15" t="s">
        <v>353</v>
      </c>
      <c r="F122" s="14" t="s">
        <v>39</v>
      </c>
      <c r="G122" s="16" t="s">
        <v>8</v>
      </c>
      <c r="H122" s="15" t="s">
        <v>7</v>
      </c>
      <c r="I122" s="15" t="s">
        <v>353</v>
      </c>
      <c r="J122" s="14" t="s">
        <v>38</v>
      </c>
      <c r="O122" s="236"/>
    </row>
    <row r="123" spans="1:15" ht="15.75" thickBot="1" x14ac:dyDescent="0.3">
      <c r="A123" s="236"/>
      <c r="C123" s="13" t="str">
        <f>IFERROR(8*C107*C109^3/(C108*C110*C115),"")</f>
        <v/>
      </c>
      <c r="D123" s="12" t="str">
        <f>IFERROR(C107*C109/(C111),"")</f>
        <v/>
      </c>
      <c r="E123" s="12" t="str">
        <f>IFERROR(0.75*C109*C114,"")</f>
        <v/>
      </c>
      <c r="F123" s="11" t="str">
        <f>IFERROR(C117*C107*C109/C116*(C109/C115),"")</f>
        <v/>
      </c>
      <c r="G123" s="13" t="str">
        <f>IFERROR(8*D107*D109^3/(D108*D110*D115),"")</f>
        <v/>
      </c>
      <c r="H123" s="12" t="str">
        <f>IFERROR(D107*D109/(D111),"")</f>
        <v/>
      </c>
      <c r="I123" s="12" t="str">
        <f>IFERROR(0.75*D109*D114,"")</f>
        <v/>
      </c>
      <c r="J123" s="11" t="str">
        <f>IFERROR(D117*D107*D109/D116*(D109/D115),"")</f>
        <v/>
      </c>
      <c r="O123" s="236"/>
    </row>
    <row r="124" spans="1:15" ht="15.75" thickBot="1" x14ac:dyDescent="0.3">
      <c r="A124" s="236"/>
      <c r="C124" s="9"/>
      <c r="D124" s="8"/>
      <c r="E124" s="67" t="s">
        <v>16</v>
      </c>
      <c r="F124" s="7">
        <f>SUM(C123:F123)</f>
        <v>0</v>
      </c>
      <c r="G124" s="9"/>
      <c r="H124" s="8"/>
      <c r="I124" s="67" t="s">
        <v>16</v>
      </c>
      <c r="J124" s="7">
        <f>SUM(G123:J123)</f>
        <v>0</v>
      </c>
      <c r="O124" s="236"/>
    </row>
    <row r="125" spans="1:15" x14ac:dyDescent="0.25">
      <c r="A125" s="236"/>
      <c r="C125" s="252" t="s">
        <v>15</v>
      </c>
      <c r="D125" s="253"/>
      <c r="E125" s="253"/>
      <c r="F125" s="254"/>
      <c r="G125" s="252" t="s">
        <v>14</v>
      </c>
      <c r="H125" s="253"/>
      <c r="I125" s="253"/>
      <c r="J125" s="254"/>
      <c r="O125" s="236"/>
    </row>
    <row r="126" spans="1:15" x14ac:dyDescent="0.25">
      <c r="A126" s="236"/>
      <c r="C126" s="20" t="s">
        <v>12</v>
      </c>
      <c r="D126" s="19" t="s">
        <v>11</v>
      </c>
      <c r="E126" s="19" t="s">
        <v>10</v>
      </c>
      <c r="F126" s="18" t="s">
        <v>40</v>
      </c>
      <c r="G126" s="20" t="s">
        <v>12</v>
      </c>
      <c r="H126" s="19" t="s">
        <v>11</v>
      </c>
      <c r="I126" s="19" t="s">
        <v>10</v>
      </c>
      <c r="J126" s="18" t="s">
        <v>40</v>
      </c>
      <c r="O126" s="236"/>
    </row>
    <row r="127" spans="1:15" ht="15.75" thickBot="1" x14ac:dyDescent="0.3">
      <c r="A127" s="236"/>
      <c r="C127" s="16" t="s">
        <v>8</v>
      </c>
      <c r="D127" s="15" t="s">
        <v>7</v>
      </c>
      <c r="E127" s="15" t="s">
        <v>353</v>
      </c>
      <c r="F127" s="14" t="s">
        <v>39</v>
      </c>
      <c r="G127" s="16" t="s">
        <v>8</v>
      </c>
      <c r="H127" s="15" t="s">
        <v>7</v>
      </c>
      <c r="I127" s="15" t="s">
        <v>353</v>
      </c>
      <c r="J127" s="14" t="s">
        <v>38</v>
      </c>
      <c r="O127" s="236"/>
    </row>
    <row r="128" spans="1:15" ht="15.75" thickBot="1" x14ac:dyDescent="0.3">
      <c r="A128" s="236"/>
      <c r="C128" s="13" t="str">
        <f>IFERROR(8*E107*E109^3/(E108*E110*E115),"")</f>
        <v/>
      </c>
      <c r="D128" s="12" t="str">
        <f>IFERROR(E107*E109/(E111),"")</f>
        <v/>
      </c>
      <c r="E128" s="12" t="str">
        <f>IFERROR(0.75*E109*E114,"")</f>
        <v/>
      </c>
      <c r="F128" s="11" t="str">
        <f>IFERROR(E117*E107*E109/E116*(E109/E115),"")</f>
        <v/>
      </c>
      <c r="G128" s="13" t="str">
        <f>IFERROR(8*F107*F109^3/(F108*F110*F115),"")</f>
        <v/>
      </c>
      <c r="H128" s="12" t="str">
        <f>IFERROR(F107*F109/(F111),"")</f>
        <v/>
      </c>
      <c r="I128" s="12" t="str">
        <f>IFERROR(0.75*F109*F114,"")</f>
        <v/>
      </c>
      <c r="J128" s="11" t="str">
        <f>IFERROR(F117*F107*F109/F116*(F109/F115),"")</f>
        <v/>
      </c>
      <c r="L128" s="68" t="s">
        <v>13</v>
      </c>
      <c r="O128" s="236"/>
    </row>
    <row r="129" spans="1:15" ht="15.75" thickBot="1" x14ac:dyDescent="0.3">
      <c r="A129" s="236"/>
      <c r="C129" s="9"/>
      <c r="D129" s="8"/>
      <c r="E129" s="67" t="s">
        <v>16</v>
      </c>
      <c r="F129" s="7">
        <f>SUM(C128:F128)</f>
        <v>0</v>
      </c>
      <c r="G129" s="9"/>
      <c r="H129" s="8"/>
      <c r="I129" s="67" t="s">
        <v>16</v>
      </c>
      <c r="J129" s="7">
        <f>SUM(G128:J128)</f>
        <v>0</v>
      </c>
      <c r="L129" s="69" t="s">
        <v>9</v>
      </c>
      <c r="O129" s="236"/>
    </row>
    <row r="130" spans="1:15" x14ac:dyDescent="0.25">
      <c r="A130" s="236"/>
      <c r="C130" s="252" t="s">
        <v>47</v>
      </c>
      <c r="D130" s="253"/>
      <c r="E130" s="253"/>
      <c r="F130" s="254"/>
      <c r="G130" s="252" t="s">
        <v>46</v>
      </c>
      <c r="H130" s="253"/>
      <c r="I130" s="253"/>
      <c r="J130" s="254"/>
      <c r="L130" s="70" t="str">
        <f>IF(J123="","",AVERAGE(F124,J124,F129,J129,F134,J134,F139,J139))</f>
        <v/>
      </c>
      <c r="M130" t="s">
        <v>19</v>
      </c>
      <c r="O130" s="236"/>
    </row>
    <row r="131" spans="1:15" ht="15.75" thickBot="1" x14ac:dyDescent="0.3">
      <c r="A131" s="236"/>
      <c r="C131" s="20" t="s">
        <v>12</v>
      </c>
      <c r="D131" s="19" t="s">
        <v>11</v>
      </c>
      <c r="E131" s="19" t="s">
        <v>10</v>
      </c>
      <c r="F131" s="18" t="s">
        <v>40</v>
      </c>
      <c r="G131" s="20" t="s">
        <v>12</v>
      </c>
      <c r="H131" s="19" t="s">
        <v>11</v>
      </c>
      <c r="I131" s="19" t="s">
        <v>10</v>
      </c>
      <c r="J131" s="18" t="s">
        <v>40</v>
      </c>
      <c r="L131" s="71" t="str">
        <f>IFERROR(4*L130/(C109*12),"")</f>
        <v/>
      </c>
      <c r="M131" t="s">
        <v>6</v>
      </c>
      <c r="O131" s="236"/>
    </row>
    <row r="132" spans="1:15" x14ac:dyDescent="0.25">
      <c r="A132" s="236"/>
      <c r="C132" s="16" t="s">
        <v>8</v>
      </c>
      <c r="D132" s="15" t="s">
        <v>7</v>
      </c>
      <c r="E132" s="15" t="s">
        <v>353</v>
      </c>
      <c r="F132" s="14" t="s">
        <v>39</v>
      </c>
      <c r="G132" s="16" t="s">
        <v>8</v>
      </c>
      <c r="H132" s="15" t="s">
        <v>7</v>
      </c>
      <c r="I132" s="15" t="s">
        <v>353</v>
      </c>
      <c r="J132" s="14" t="s">
        <v>38</v>
      </c>
      <c r="O132" s="236"/>
    </row>
    <row r="133" spans="1:15" ht="15.75" thickBot="1" x14ac:dyDescent="0.3">
      <c r="A133" s="236"/>
      <c r="C133" s="13" t="str">
        <f>IFERROR(8*G107*G109^3/(G108*G110*G115),"")</f>
        <v/>
      </c>
      <c r="D133" s="12" t="str">
        <f>IFERROR(G107*G109/(G111),"")</f>
        <v/>
      </c>
      <c r="E133" s="12" t="str">
        <f>IFERROR(0.75*G109*G114,"")</f>
        <v/>
      </c>
      <c r="F133" s="11" t="str">
        <f>IFERROR(G117*G107*G109/G116*(G109/G115),"")</f>
        <v/>
      </c>
      <c r="G133" s="13" t="str">
        <f>IFERROR(8*H107*H109^3/(H108*H110*H115),"")</f>
        <v/>
      </c>
      <c r="H133" s="12" t="str">
        <f>IFERROR(H107*H109/(H111),"")</f>
        <v/>
      </c>
      <c r="I133" s="12" t="str">
        <f>IFERROR(0.75*H109*H114,"")</f>
        <v/>
      </c>
      <c r="J133" s="11" t="str">
        <f>IFERROR(H117*H107*H109/H116*(H109/H115),"")</f>
        <v/>
      </c>
      <c r="O133" s="236"/>
    </row>
    <row r="134" spans="1:15" ht="15.75" thickBot="1" x14ac:dyDescent="0.3">
      <c r="A134" s="236"/>
      <c r="C134" s="9"/>
      <c r="D134" s="8"/>
      <c r="E134" s="67" t="s">
        <v>16</v>
      </c>
      <c r="F134" s="7">
        <f>SUM(C133:F133)</f>
        <v>0</v>
      </c>
      <c r="G134" s="9"/>
      <c r="H134" s="8"/>
      <c r="I134" s="67" t="s">
        <v>16</v>
      </c>
      <c r="J134" s="7">
        <f>SUM(G133:J133)</f>
        <v>0</v>
      </c>
      <c r="O134" s="236"/>
    </row>
    <row r="135" spans="1:15" x14ac:dyDescent="0.25">
      <c r="A135" s="236"/>
      <c r="C135" s="252" t="s">
        <v>54</v>
      </c>
      <c r="D135" s="253"/>
      <c r="E135" s="253"/>
      <c r="F135" s="254"/>
      <c r="G135" s="252" t="s">
        <v>55</v>
      </c>
      <c r="H135" s="253"/>
      <c r="I135" s="253"/>
      <c r="J135" s="254"/>
      <c r="O135" s="236"/>
    </row>
    <row r="136" spans="1:15" x14ac:dyDescent="0.25">
      <c r="A136" s="236"/>
      <c r="C136" s="20" t="s">
        <v>12</v>
      </c>
      <c r="D136" s="19" t="s">
        <v>11</v>
      </c>
      <c r="E136" s="19" t="s">
        <v>10</v>
      </c>
      <c r="F136" s="18" t="s">
        <v>40</v>
      </c>
      <c r="G136" s="20" t="s">
        <v>12</v>
      </c>
      <c r="H136" s="19" t="s">
        <v>11</v>
      </c>
      <c r="I136" s="19" t="s">
        <v>10</v>
      </c>
      <c r="J136" s="18" t="s">
        <v>40</v>
      </c>
      <c r="O136" s="236"/>
    </row>
    <row r="137" spans="1:15" x14ac:dyDescent="0.25">
      <c r="A137" s="236"/>
      <c r="C137" s="16" t="s">
        <v>8</v>
      </c>
      <c r="D137" s="15" t="s">
        <v>7</v>
      </c>
      <c r="E137" s="15" t="s">
        <v>353</v>
      </c>
      <c r="F137" s="14" t="s">
        <v>39</v>
      </c>
      <c r="G137" s="16" t="s">
        <v>8</v>
      </c>
      <c r="H137" s="15" t="s">
        <v>7</v>
      </c>
      <c r="I137" s="15" t="s">
        <v>353</v>
      </c>
      <c r="J137" s="14" t="s">
        <v>38</v>
      </c>
      <c r="M137" s="17" t="s">
        <v>190</v>
      </c>
      <c r="O137" s="236"/>
    </row>
    <row r="138" spans="1:15" ht="15.75" thickBot="1" x14ac:dyDescent="0.3">
      <c r="A138" s="236"/>
      <c r="C138" s="13" t="str">
        <f>IFERROR(8*I107*I109^3/(I108*I110*I115),"")</f>
        <v/>
      </c>
      <c r="D138" s="12" t="str">
        <f>IFERROR(I107*I109/(I111),"")</f>
        <v/>
      </c>
      <c r="E138" s="12" t="str">
        <f>IFERROR(0.75*I109*I114,"")</f>
        <v/>
      </c>
      <c r="F138" s="11" t="str">
        <f>IFERROR(I117*I107*I109/I116*(I109/I115),"")</f>
        <v/>
      </c>
      <c r="G138" s="13" t="str">
        <f>IFERROR(8*J107*J109^3/(J108*J110*J115),"")</f>
        <v/>
      </c>
      <c r="H138" s="12" t="str">
        <f>IFERROR(J107*J109/(J111),"")</f>
        <v/>
      </c>
      <c r="I138" s="12" t="str">
        <f>IFERROR(0.75*J109*J114,"")</f>
        <v/>
      </c>
      <c r="J138" s="11" t="str">
        <f>IFERROR(J117*J107*J109/J116*(J109/J115),"")</f>
        <v/>
      </c>
      <c r="O138" s="236"/>
    </row>
    <row r="139" spans="1:15" ht="15.75" thickBot="1" x14ac:dyDescent="0.3">
      <c r="A139" s="236"/>
      <c r="C139" s="9"/>
      <c r="D139" s="8"/>
      <c r="E139" s="67" t="s">
        <v>16</v>
      </c>
      <c r="F139" s="7">
        <f>SUM(C138:F138)</f>
        <v>0</v>
      </c>
      <c r="G139" s="9"/>
      <c r="H139" s="8"/>
      <c r="I139" s="67" t="s">
        <v>16</v>
      </c>
      <c r="J139" s="7">
        <f>SUM(G138:J138)</f>
        <v>0</v>
      </c>
      <c r="L139" s="26"/>
      <c r="O139" s="236"/>
    </row>
    <row r="140" spans="1:15" x14ac:dyDescent="0.25">
      <c r="A140" s="236"/>
      <c r="C140" s="3"/>
      <c r="D140" s="3"/>
      <c r="E140" s="27"/>
      <c r="F140" s="25"/>
      <c r="G140" s="3"/>
      <c r="H140" s="3"/>
      <c r="I140" s="27"/>
      <c r="J140" s="25"/>
      <c r="L140" s="140"/>
      <c r="O140" s="236"/>
    </row>
    <row r="141" spans="1:15" x14ac:dyDescent="0.25">
      <c r="A141" s="236"/>
      <c r="J141" s="66"/>
      <c r="O141" s="236"/>
    </row>
    <row r="142" spans="1:15" ht="15.75" thickBot="1" x14ac:dyDescent="0.3">
      <c r="A142" s="236"/>
      <c r="B142" s="259" t="s">
        <v>88</v>
      </c>
      <c r="C142" s="259"/>
      <c r="D142" s="259"/>
      <c r="E142" s="259"/>
      <c r="F142" s="259"/>
      <c r="O142" s="236"/>
    </row>
    <row r="143" spans="1:15" x14ac:dyDescent="0.25">
      <c r="A143" s="236"/>
      <c r="O143" s="236"/>
    </row>
    <row r="144" spans="1:15" x14ac:dyDescent="0.25">
      <c r="A144" s="236"/>
      <c r="O144" s="236"/>
    </row>
    <row r="145" spans="1:15" x14ac:dyDescent="0.25">
      <c r="A145" s="236"/>
      <c r="O145" s="236"/>
    </row>
    <row r="146" spans="1:15" ht="15.75" thickBot="1" x14ac:dyDescent="0.3">
      <c r="A146" s="236"/>
      <c r="C146" s="63" t="s">
        <v>37</v>
      </c>
      <c r="D146" s="64" t="s">
        <v>36</v>
      </c>
      <c r="E146" s="63" t="s">
        <v>35</v>
      </c>
      <c r="F146" s="64" t="s">
        <v>34</v>
      </c>
      <c r="G146" s="63" t="s">
        <v>50</v>
      </c>
      <c r="H146" s="64" t="s">
        <v>49</v>
      </c>
      <c r="I146" s="63" t="s">
        <v>51</v>
      </c>
      <c r="J146" s="64" t="s">
        <v>52</v>
      </c>
      <c r="O146" s="236"/>
    </row>
    <row r="147" spans="1:15" ht="15.75" customHeight="1" thickTop="1" x14ac:dyDescent="0.25">
      <c r="A147" s="236"/>
      <c r="B147" s="2" t="s">
        <v>33</v>
      </c>
      <c r="C147" s="105" t="str">
        <f>IF(B93="","",B93)</f>
        <v/>
      </c>
      <c r="D147" s="106" t="str">
        <f>IF(B93="","",B93)</f>
        <v/>
      </c>
      <c r="E147" s="105" t="str">
        <f>IF(B93="","",B93)</f>
        <v/>
      </c>
      <c r="F147" s="106" t="str">
        <f>IF(B93="","",B93)</f>
        <v/>
      </c>
      <c r="G147" s="105" t="str">
        <f>IF(B93="","",B93)</f>
        <v/>
      </c>
      <c r="H147" s="106" t="str">
        <f>IF(B93="","",B93)</f>
        <v/>
      </c>
      <c r="I147" s="105" t="str">
        <f>IF(B93="","",B93)</f>
        <v/>
      </c>
      <c r="J147" s="106" t="str">
        <f>IF(B93="","",B93)</f>
        <v/>
      </c>
      <c r="L147" s="260" t="str">
        <f>IFERROR(IF($C$154="N/A","Sheathing and Nail Type are not a valid combination. Please review Nail Type input.",""),"")</f>
        <v/>
      </c>
      <c r="M147" s="260"/>
      <c r="N147" s="260"/>
      <c r="O147" s="236"/>
    </row>
    <row r="148" spans="1:15" ht="15.75" thickBot="1" x14ac:dyDescent="0.3">
      <c r="A148" s="236"/>
      <c r="B148" s="2" t="s">
        <v>32</v>
      </c>
      <c r="C148" s="36">
        <f>L91</f>
        <v>0</v>
      </c>
      <c r="D148" s="35">
        <f>L91</f>
        <v>0</v>
      </c>
      <c r="E148" s="36">
        <f>L91</f>
        <v>0</v>
      </c>
      <c r="F148" s="35">
        <f>L91</f>
        <v>0</v>
      </c>
      <c r="G148" s="36">
        <f>L91</f>
        <v>0</v>
      </c>
      <c r="H148" s="35">
        <f>L91</f>
        <v>0</v>
      </c>
      <c r="I148" s="36">
        <f>L91</f>
        <v>0</v>
      </c>
      <c r="J148" s="35">
        <f>L91</f>
        <v>0</v>
      </c>
      <c r="L148" s="260"/>
      <c r="M148" s="260"/>
      <c r="N148" s="260"/>
      <c r="O148" s="236"/>
    </row>
    <row r="149" spans="1:15" ht="18" x14ac:dyDescent="0.35">
      <c r="A149" s="236"/>
      <c r="B149" s="2" t="s">
        <v>31</v>
      </c>
      <c r="C149" s="55" t="str">
        <f>M33</f>
        <v/>
      </c>
      <c r="D149" s="32" t="str">
        <f>C149</f>
        <v/>
      </c>
      <c r="E149" s="55" t="str">
        <f>M34</f>
        <v/>
      </c>
      <c r="F149" s="32" t="str">
        <f>E149</f>
        <v/>
      </c>
      <c r="G149" s="55" t="str">
        <f>M35</f>
        <v/>
      </c>
      <c r="H149" s="32" t="str">
        <f>G149</f>
        <v/>
      </c>
      <c r="I149" s="55" t="str">
        <f>M36</f>
        <v/>
      </c>
      <c r="J149" s="32" t="str">
        <f>I149</f>
        <v/>
      </c>
      <c r="K149" s="41" t="s">
        <v>29</v>
      </c>
      <c r="L149" s="177"/>
      <c r="M149" s="177"/>
      <c r="N149" s="177"/>
      <c r="O149" s="236"/>
    </row>
    <row r="150" spans="1:15" ht="18" x14ac:dyDescent="0.35">
      <c r="A150" s="236"/>
      <c r="B150" s="2" t="s">
        <v>30</v>
      </c>
      <c r="C150" s="55" t="str">
        <f t="shared" ref="C150:J150" si="8">IFERROR(C149/0.7,"")</f>
        <v/>
      </c>
      <c r="D150" s="32" t="str">
        <f t="shared" si="8"/>
        <v/>
      </c>
      <c r="E150" s="55" t="str">
        <f t="shared" si="8"/>
        <v/>
      </c>
      <c r="F150" s="32" t="str">
        <f t="shared" si="8"/>
        <v/>
      </c>
      <c r="G150" s="55" t="str">
        <f t="shared" si="8"/>
        <v/>
      </c>
      <c r="H150" s="32" t="str">
        <f t="shared" si="8"/>
        <v/>
      </c>
      <c r="I150" s="55" t="str">
        <f t="shared" si="8"/>
        <v/>
      </c>
      <c r="J150" s="32" t="str">
        <f t="shared" si="8"/>
        <v/>
      </c>
      <c r="K150" s="41" t="s">
        <v>29</v>
      </c>
      <c r="O150" s="236"/>
    </row>
    <row r="151" spans="1:15" x14ac:dyDescent="0.25">
      <c r="A151" s="236"/>
      <c r="B151" s="2" t="s">
        <v>28</v>
      </c>
      <c r="C151" s="37" t="str">
        <f>IF($H$93="","",$H$93)</f>
        <v/>
      </c>
      <c r="D151" s="29" t="str">
        <f t="shared" ref="D151:J151" si="9">IF($H$93="","",$H$93)</f>
        <v/>
      </c>
      <c r="E151" s="37" t="str">
        <f t="shared" si="9"/>
        <v/>
      </c>
      <c r="F151" s="29" t="str">
        <f t="shared" si="9"/>
        <v/>
      </c>
      <c r="G151" s="37" t="str">
        <f t="shared" si="9"/>
        <v/>
      </c>
      <c r="H151" s="29" t="str">
        <f t="shared" si="9"/>
        <v/>
      </c>
      <c r="I151" s="37" t="str">
        <f t="shared" si="9"/>
        <v/>
      </c>
      <c r="J151" s="29" t="str">
        <f t="shared" si="9"/>
        <v/>
      </c>
      <c r="K151" s="41" t="s">
        <v>27</v>
      </c>
      <c r="O151" s="236"/>
    </row>
    <row r="152" spans="1:15" x14ac:dyDescent="0.25">
      <c r="A152" s="236"/>
      <c r="B152" s="2" t="s">
        <v>26</v>
      </c>
      <c r="C152" s="38" t="str">
        <f>C29</f>
        <v/>
      </c>
      <c r="D152" s="30" t="str">
        <f>IF(C29="","",C29-E27)</f>
        <v/>
      </c>
      <c r="E152" s="38" t="str">
        <f>D152</f>
        <v/>
      </c>
      <c r="F152" s="30" t="str">
        <f>D152</f>
        <v/>
      </c>
      <c r="G152" s="38" t="str">
        <f>D152</f>
        <v/>
      </c>
      <c r="H152" s="30" t="str">
        <f>D152</f>
        <v/>
      </c>
      <c r="I152" s="38" t="str">
        <f>D152</f>
        <v/>
      </c>
      <c r="J152" s="30" t="str">
        <f>C152</f>
        <v/>
      </c>
      <c r="K152" s="41" t="s">
        <v>21</v>
      </c>
      <c r="O152" s="236"/>
    </row>
    <row r="153" spans="1:15" ht="17.25" x14ac:dyDescent="0.25">
      <c r="A153" s="236"/>
      <c r="B153" s="2" t="s">
        <v>25</v>
      </c>
      <c r="C153" s="39" t="str">
        <f>IF($H$97="",$H$96,$H$97)</f>
        <v/>
      </c>
      <c r="D153" s="28" t="str">
        <f t="shared" ref="D153:J153" si="10">$C$110</f>
        <v/>
      </c>
      <c r="E153" s="39" t="str">
        <f t="shared" si="10"/>
        <v/>
      </c>
      <c r="F153" s="28" t="str">
        <f t="shared" si="10"/>
        <v/>
      </c>
      <c r="G153" s="39" t="str">
        <f t="shared" si="10"/>
        <v/>
      </c>
      <c r="H153" s="28" t="str">
        <f t="shared" si="10"/>
        <v/>
      </c>
      <c r="I153" s="39" t="str">
        <f t="shared" si="10"/>
        <v/>
      </c>
      <c r="J153" s="28" t="str">
        <f t="shared" si="10"/>
        <v/>
      </c>
      <c r="K153" s="41" t="s">
        <v>191</v>
      </c>
      <c r="O153" s="236"/>
    </row>
    <row r="154" spans="1:15" x14ac:dyDescent="0.25">
      <c r="A154" s="236"/>
      <c r="B154" s="2" t="s">
        <v>24</v>
      </c>
      <c r="C154" s="40" t="str">
        <f>IF($B$97="",IF(B92="OSB",VLOOKUP(B92&amp;B93&amp;B94&amp;L91&amp;L94,Table1113[],3,FALSE),IF(B92="Plywood",VLOOKUP(B92&amp;B93&amp;B94&amp;L91&amp;L94,Table1113[],3,FALSE),"")),$B$97)</f>
        <v/>
      </c>
      <c r="D154" s="31" t="str">
        <f>C154</f>
        <v/>
      </c>
      <c r="E154" s="40" t="str">
        <f>C154</f>
        <v/>
      </c>
      <c r="F154" s="31" t="str">
        <f>C154</f>
        <v/>
      </c>
      <c r="G154" s="40" t="str">
        <f>C154</f>
        <v/>
      </c>
      <c r="H154" s="31" t="str">
        <f>C154</f>
        <v/>
      </c>
      <c r="I154" s="40" t="str">
        <f>C154</f>
        <v/>
      </c>
      <c r="J154" s="31" t="str">
        <f>C154</f>
        <v/>
      </c>
      <c r="K154" s="41" t="s">
        <v>23</v>
      </c>
      <c r="O154" s="236"/>
    </row>
    <row r="155" spans="1:15" x14ac:dyDescent="0.25">
      <c r="A155" s="236"/>
      <c r="B155" s="2" t="s">
        <v>22</v>
      </c>
      <c r="C155" s="38" t="str">
        <f>IF(C25="","",C25)</f>
        <v/>
      </c>
      <c r="D155" s="30" t="str">
        <f>C155</f>
        <v/>
      </c>
      <c r="E155" s="38" t="str">
        <f>IF(C26="","",C26)</f>
        <v/>
      </c>
      <c r="F155" s="30" t="str">
        <f>E155</f>
        <v/>
      </c>
      <c r="G155" s="38" t="str">
        <f>IF(C27="","",C27)</f>
        <v/>
      </c>
      <c r="H155" s="30" t="str">
        <f>G155</f>
        <v/>
      </c>
      <c r="I155" s="38" t="str">
        <f>IF(C28="","",C28)</f>
        <v/>
      </c>
      <c r="J155" s="30" t="str">
        <f>I155</f>
        <v/>
      </c>
      <c r="K155" s="41" t="s">
        <v>21</v>
      </c>
      <c r="L155" s="23"/>
      <c r="M155" s="23"/>
      <c r="O155" s="236"/>
    </row>
    <row r="156" spans="1:15" x14ac:dyDescent="0.25">
      <c r="A156" s="236"/>
      <c r="B156" s="2" t="s">
        <v>53</v>
      </c>
      <c r="C156" s="39" t="str">
        <f>IF(L95="","",L95)</f>
        <v/>
      </c>
      <c r="D156" s="28" t="str">
        <f>C156</f>
        <v/>
      </c>
      <c r="E156" s="39" t="str">
        <f>P95</f>
        <v/>
      </c>
      <c r="F156" s="28" t="str">
        <f>E156</f>
        <v/>
      </c>
      <c r="G156" s="39" t="str">
        <f>Q95</f>
        <v/>
      </c>
      <c r="H156" s="28" t="str">
        <f>G156</f>
        <v/>
      </c>
      <c r="I156" s="39" t="str">
        <f>M95</f>
        <v/>
      </c>
      <c r="J156" s="28" t="str">
        <f>I156</f>
        <v/>
      </c>
      <c r="K156" s="41" t="s">
        <v>20</v>
      </c>
      <c r="O156" s="236"/>
    </row>
    <row r="157" spans="1:15" x14ac:dyDescent="0.25">
      <c r="A157" s="236"/>
      <c r="B157" s="2" t="s">
        <v>48</v>
      </c>
      <c r="C157" s="62" t="str">
        <f>IF(L96="","",L96)</f>
        <v/>
      </c>
      <c r="D157" s="34" t="str">
        <f>C157</f>
        <v/>
      </c>
      <c r="E157" s="62" t="str">
        <f>P96</f>
        <v/>
      </c>
      <c r="F157" s="34" t="str">
        <f>E157</f>
        <v/>
      </c>
      <c r="G157" s="62" t="str">
        <f>Q96</f>
        <v/>
      </c>
      <c r="H157" s="34" t="str">
        <f>G157</f>
        <v/>
      </c>
      <c r="I157" s="62" t="str">
        <f>M96</f>
        <v/>
      </c>
      <c r="J157" s="34" t="str">
        <f>I157</f>
        <v/>
      </c>
      <c r="K157" s="41" t="s">
        <v>19</v>
      </c>
      <c r="O157" s="236"/>
    </row>
    <row r="158" spans="1:15" x14ac:dyDescent="0.25">
      <c r="A158" s="236"/>
      <c r="O158" s="236"/>
    </row>
    <row r="159" spans="1:15" ht="15.75" thickBot="1" x14ac:dyDescent="0.3">
      <c r="A159" s="236"/>
      <c r="C159" s="6" t="s">
        <v>82</v>
      </c>
      <c r="O159" s="236"/>
    </row>
    <row r="160" spans="1:15" x14ac:dyDescent="0.25">
      <c r="A160" s="236"/>
      <c r="C160" s="252" t="s">
        <v>18</v>
      </c>
      <c r="D160" s="253"/>
      <c r="E160" s="254"/>
      <c r="F160" s="252" t="s">
        <v>17</v>
      </c>
      <c r="G160" s="253"/>
      <c r="H160" s="254"/>
      <c r="O160" s="236"/>
    </row>
    <row r="161" spans="1:15" x14ac:dyDescent="0.25">
      <c r="A161" s="236"/>
      <c r="C161" s="20" t="s">
        <v>12</v>
      </c>
      <c r="D161" s="19" t="s">
        <v>11</v>
      </c>
      <c r="E161" s="19" t="s">
        <v>10</v>
      </c>
      <c r="F161" s="20" t="s">
        <v>12</v>
      </c>
      <c r="G161" s="19" t="s">
        <v>11</v>
      </c>
      <c r="H161" s="18" t="s">
        <v>10</v>
      </c>
      <c r="O161" s="236"/>
    </row>
    <row r="162" spans="1:15" x14ac:dyDescent="0.25">
      <c r="A162" s="236"/>
      <c r="C162" s="16" t="s">
        <v>8</v>
      </c>
      <c r="D162" s="15" t="s">
        <v>7</v>
      </c>
      <c r="E162" s="15" t="s">
        <v>353</v>
      </c>
      <c r="F162" s="16" t="s">
        <v>8</v>
      </c>
      <c r="G162" s="15" t="s">
        <v>7</v>
      </c>
      <c r="H162" s="14" t="s">
        <v>353</v>
      </c>
      <c r="O162" s="236"/>
    </row>
    <row r="163" spans="1:15" ht="15.75" thickBot="1" x14ac:dyDescent="0.3">
      <c r="A163" s="236"/>
      <c r="C163" s="13" t="str">
        <f>IFERROR(8*C150*C152^3/(C151*C153*C155),"")</f>
        <v/>
      </c>
      <c r="D163" s="12" t="str">
        <f>IFERROR(C150*C152/(C154*1000),"")</f>
        <v/>
      </c>
      <c r="E163" s="11" t="str">
        <f>IFERROR(C157*C150*C152/C156*(C152/C155),"")</f>
        <v/>
      </c>
      <c r="F163" s="13" t="str">
        <f>IFERROR(8*D150*D152^3/(D151*D153*D155),"")</f>
        <v/>
      </c>
      <c r="G163" s="12" t="str">
        <f>IFERROR(D150*D152/(D154*1000),"")</f>
        <v/>
      </c>
      <c r="H163" s="11" t="str">
        <f>IFERROR(D157*D150*D152/D156*(D152/D155),"")</f>
        <v/>
      </c>
      <c r="O163" s="236"/>
    </row>
    <row r="164" spans="1:15" ht="15.75" thickBot="1" x14ac:dyDescent="0.3">
      <c r="A164" s="236"/>
      <c r="C164" s="10"/>
      <c r="D164" s="67" t="s">
        <v>16</v>
      </c>
      <c r="E164" s="7">
        <f>SUM(C163:E163)</f>
        <v>0</v>
      </c>
      <c r="F164" s="9"/>
      <c r="G164" s="67" t="s">
        <v>16</v>
      </c>
      <c r="H164" s="7">
        <f>SUM(F163:H163)</f>
        <v>0</v>
      </c>
      <c r="O164" s="236"/>
    </row>
    <row r="165" spans="1:15" x14ac:dyDescent="0.25">
      <c r="A165" s="236"/>
      <c r="C165" s="252" t="s">
        <v>15</v>
      </c>
      <c r="D165" s="253"/>
      <c r="E165" s="254"/>
      <c r="F165" s="252" t="s">
        <v>14</v>
      </c>
      <c r="G165" s="253"/>
      <c r="H165" s="254"/>
      <c r="O165" s="236"/>
    </row>
    <row r="166" spans="1:15" x14ac:dyDescent="0.25">
      <c r="A166" s="236"/>
      <c r="C166" s="20" t="s">
        <v>12</v>
      </c>
      <c r="D166" s="19" t="s">
        <v>11</v>
      </c>
      <c r="E166" s="19" t="s">
        <v>10</v>
      </c>
      <c r="F166" s="20" t="s">
        <v>12</v>
      </c>
      <c r="G166" s="19" t="s">
        <v>11</v>
      </c>
      <c r="H166" s="18" t="s">
        <v>10</v>
      </c>
      <c r="O166" s="236"/>
    </row>
    <row r="167" spans="1:15" ht="15.75" thickBot="1" x14ac:dyDescent="0.3">
      <c r="A167" s="236"/>
      <c r="C167" s="16" t="s">
        <v>8</v>
      </c>
      <c r="D167" s="15" t="s">
        <v>7</v>
      </c>
      <c r="E167" s="15" t="s">
        <v>353</v>
      </c>
      <c r="F167" s="16" t="s">
        <v>8</v>
      </c>
      <c r="G167" s="15" t="s">
        <v>7</v>
      </c>
      <c r="H167" s="14" t="s">
        <v>353</v>
      </c>
      <c r="O167" s="236"/>
    </row>
    <row r="168" spans="1:15" ht="15.75" thickBot="1" x14ac:dyDescent="0.3">
      <c r="A168" s="236"/>
      <c r="C168" s="13" t="str">
        <f>IFERROR(8*E150*E152^3/(E151*E153*E155),"")</f>
        <v/>
      </c>
      <c r="D168" s="12" t="str">
        <f>IFERROR(E150*E152/(E154*1000),"")</f>
        <v/>
      </c>
      <c r="E168" s="11" t="str">
        <f>IFERROR(E157*E150*E152/E156*(E152/E155),"")</f>
        <v/>
      </c>
      <c r="F168" s="13" t="str">
        <f>IFERROR(8*F150*F152^3/(F151*F153*F155),"")</f>
        <v/>
      </c>
      <c r="G168" s="12" t="str">
        <f>IFERROR(F150*F152/(F154*1000),"")</f>
        <v/>
      </c>
      <c r="H168" s="11" t="str">
        <f>IFERROR(F157*F150*F152/F156*(F152/F155),"")</f>
        <v/>
      </c>
      <c r="J168" s="68" t="s">
        <v>13</v>
      </c>
      <c r="O168" s="236"/>
    </row>
    <row r="169" spans="1:15" ht="15.75" thickBot="1" x14ac:dyDescent="0.3">
      <c r="A169" s="236"/>
      <c r="C169" s="10"/>
      <c r="D169" s="67" t="s">
        <v>16</v>
      </c>
      <c r="E169" s="7">
        <f>SUM(C168:E168)</f>
        <v>0</v>
      </c>
      <c r="F169" s="9"/>
      <c r="G169" s="67" t="s">
        <v>16</v>
      </c>
      <c r="H169" s="7">
        <f>SUM(F168:H168)</f>
        <v>0</v>
      </c>
      <c r="J169" s="69" t="s">
        <v>9</v>
      </c>
      <c r="O169" s="236"/>
    </row>
    <row r="170" spans="1:15" x14ac:dyDescent="0.25">
      <c r="A170" s="236"/>
      <c r="C170" s="252" t="s">
        <v>47</v>
      </c>
      <c r="D170" s="253"/>
      <c r="E170" s="254"/>
      <c r="F170" s="252" t="s">
        <v>46</v>
      </c>
      <c r="G170" s="253"/>
      <c r="H170" s="254"/>
      <c r="J170" s="70" t="str">
        <f>IF(H163="","",AVERAGE(E164,H164,E169,H169,E174,H174,E179,H179))</f>
        <v/>
      </c>
      <c r="K170" t="s">
        <v>19</v>
      </c>
      <c r="O170" s="236"/>
    </row>
    <row r="171" spans="1:15" ht="15.75" thickBot="1" x14ac:dyDescent="0.3">
      <c r="A171" s="236"/>
      <c r="C171" s="20" t="s">
        <v>12</v>
      </c>
      <c r="D171" s="19" t="s">
        <v>11</v>
      </c>
      <c r="E171" s="19" t="s">
        <v>10</v>
      </c>
      <c r="F171" s="20" t="s">
        <v>12</v>
      </c>
      <c r="G171" s="19" t="s">
        <v>11</v>
      </c>
      <c r="H171" s="18" t="s">
        <v>10</v>
      </c>
      <c r="J171" s="71" t="str">
        <f>IFERROR(4*J170/(C152*12),"")</f>
        <v/>
      </c>
      <c r="K171" t="s">
        <v>6</v>
      </c>
      <c r="L171" s="17"/>
      <c r="O171" s="236"/>
    </row>
    <row r="172" spans="1:15" x14ac:dyDescent="0.25">
      <c r="A172" s="236"/>
      <c r="C172" s="16" t="s">
        <v>8</v>
      </c>
      <c r="D172" s="15" t="s">
        <v>7</v>
      </c>
      <c r="E172" s="15" t="s">
        <v>353</v>
      </c>
      <c r="F172" s="16" t="s">
        <v>8</v>
      </c>
      <c r="G172" s="15" t="s">
        <v>7</v>
      </c>
      <c r="H172" s="14" t="s">
        <v>353</v>
      </c>
      <c r="L172" s="17"/>
      <c r="O172" s="236"/>
    </row>
    <row r="173" spans="1:15" ht="15.75" thickBot="1" x14ac:dyDescent="0.3">
      <c r="A173" s="236"/>
      <c r="C173" s="13" t="str">
        <f>IFERROR(8*G150*G152^3/(G151*G153*G155),"")</f>
        <v/>
      </c>
      <c r="D173" s="12" t="str">
        <f>IFERROR(G150*G152/(G154*1000),"")</f>
        <v/>
      </c>
      <c r="E173" s="11" t="str">
        <f>IFERROR(G157*G150*G152/G156*(G152/G155),"")</f>
        <v/>
      </c>
      <c r="F173" s="13" t="str">
        <f>IFERROR(8*H150*H152^3/(H151*H153*H155),"")</f>
        <v/>
      </c>
      <c r="G173" s="12" t="str">
        <f>IFERROR(H150*H152/(H154*1000),"")</f>
        <v/>
      </c>
      <c r="H173" s="11" t="str">
        <f>IFERROR(H157*H150*H152/H156*(H152/H155),"")</f>
        <v/>
      </c>
      <c r="J173" s="126"/>
      <c r="K173" s="124"/>
      <c r="L173" s="124"/>
      <c r="M173" s="124"/>
      <c r="O173" s="236"/>
    </row>
    <row r="174" spans="1:15" ht="15.75" thickBot="1" x14ac:dyDescent="0.3">
      <c r="A174" s="236"/>
      <c r="C174" s="10"/>
      <c r="D174" s="67" t="s">
        <v>16</v>
      </c>
      <c r="E174" s="7">
        <f>SUM(C173:E173)</f>
        <v>0</v>
      </c>
      <c r="F174" s="9"/>
      <c r="G174" s="67" t="s">
        <v>16</v>
      </c>
      <c r="H174" s="7">
        <f>SUM(F173:H173)</f>
        <v>0</v>
      </c>
      <c r="J174" s="3"/>
      <c r="K174" s="124"/>
      <c r="L174" s="124"/>
      <c r="M174" s="124"/>
      <c r="O174" s="236"/>
    </row>
    <row r="175" spans="1:15" x14ac:dyDescent="0.25">
      <c r="A175" s="236"/>
      <c r="C175" s="252" t="s">
        <v>54</v>
      </c>
      <c r="D175" s="253"/>
      <c r="E175" s="254"/>
      <c r="F175" s="252" t="s">
        <v>55</v>
      </c>
      <c r="G175" s="253"/>
      <c r="H175" s="254"/>
      <c r="O175" s="236"/>
    </row>
    <row r="176" spans="1:15" x14ac:dyDescent="0.25">
      <c r="A176" s="236"/>
      <c r="C176" s="20" t="s">
        <v>12</v>
      </c>
      <c r="D176" s="19" t="s">
        <v>11</v>
      </c>
      <c r="E176" s="19" t="s">
        <v>10</v>
      </c>
      <c r="F176" s="20" t="s">
        <v>12</v>
      </c>
      <c r="G176" s="19" t="s">
        <v>11</v>
      </c>
      <c r="H176" s="18" t="s">
        <v>10</v>
      </c>
      <c r="O176" s="236"/>
    </row>
    <row r="177" spans="1:15" x14ac:dyDescent="0.25">
      <c r="A177" s="236"/>
      <c r="C177" s="16" t="s">
        <v>8</v>
      </c>
      <c r="D177" s="15" t="s">
        <v>7</v>
      </c>
      <c r="E177" s="15" t="s">
        <v>353</v>
      </c>
      <c r="F177" s="16" t="s">
        <v>8</v>
      </c>
      <c r="G177" s="15" t="s">
        <v>7</v>
      </c>
      <c r="H177" s="14" t="s">
        <v>353</v>
      </c>
      <c r="O177" s="236"/>
    </row>
    <row r="178" spans="1:15" ht="15.75" thickBot="1" x14ac:dyDescent="0.3">
      <c r="A178" s="236"/>
      <c r="C178" s="13" t="str">
        <f>IFERROR(8*I150*I152^3/(I151*I153*I155),"")</f>
        <v/>
      </c>
      <c r="D178" s="12" t="str">
        <f>IFERROR(I150*I152/(I154*1000),"")</f>
        <v/>
      </c>
      <c r="E178" s="11" t="str">
        <f>IFERROR(I157*I150*I152/I156*(I152/I155),"")</f>
        <v/>
      </c>
      <c r="F178" s="13" t="str">
        <f>IFERROR(8*J150*J152^3/(J151*J153*J155),"")</f>
        <v/>
      </c>
      <c r="G178" s="12" t="str">
        <f>IFERROR(J150*J152/(J154*1000),"")</f>
        <v/>
      </c>
      <c r="H178" s="11" t="str">
        <f>IFERROR(J157*J150*J152/J156*(J152/J155),"")</f>
        <v/>
      </c>
      <c r="O178" s="236"/>
    </row>
    <row r="179" spans="1:15" ht="15.75" thickBot="1" x14ac:dyDescent="0.3">
      <c r="A179" s="236"/>
      <c r="C179" s="10"/>
      <c r="D179" s="67" t="s">
        <v>16</v>
      </c>
      <c r="E179" s="7">
        <f>SUM(C178:E178)</f>
        <v>0</v>
      </c>
      <c r="F179" s="9"/>
      <c r="G179" s="67" t="s">
        <v>16</v>
      </c>
      <c r="H179" s="7">
        <f>SUM(F178:H178)</f>
        <v>0</v>
      </c>
      <c r="O179" s="236"/>
    </row>
    <row r="180" spans="1:15" x14ac:dyDescent="0.25">
      <c r="A180" s="236"/>
      <c r="O180" s="236"/>
    </row>
    <row r="181" spans="1:15" ht="15" customHeight="1" x14ac:dyDescent="0.25">
      <c r="A181" s="236"/>
      <c r="B181" s="300" t="s">
        <v>161</v>
      </c>
      <c r="C181" s="301"/>
      <c r="D181" s="301"/>
      <c r="E181" s="301"/>
      <c r="F181" s="301"/>
      <c r="G181" s="301"/>
      <c r="H181" s="301"/>
      <c r="I181" s="301"/>
      <c r="J181" s="301"/>
      <c r="K181" s="301"/>
      <c r="L181" s="301"/>
      <c r="M181" s="301"/>
      <c r="N181" s="302"/>
      <c r="O181" s="236"/>
    </row>
    <row r="182" spans="1:15" ht="15" customHeight="1" x14ac:dyDescent="0.25">
      <c r="A182" s="179"/>
      <c r="B182" s="180"/>
      <c r="C182" s="180"/>
      <c r="D182" s="180"/>
      <c r="E182" s="180"/>
      <c r="F182" s="180"/>
      <c r="G182" s="180"/>
      <c r="H182" s="180"/>
      <c r="I182" s="180"/>
      <c r="J182" s="180"/>
      <c r="K182" s="180"/>
      <c r="L182" s="180"/>
      <c r="M182" s="180"/>
      <c r="N182" s="180"/>
      <c r="O182" s="179"/>
    </row>
    <row r="183" spans="1:15" ht="15.75" thickBot="1" x14ac:dyDescent="0.3">
      <c r="A183" s="164"/>
      <c r="B183" s="258" t="s">
        <v>142</v>
      </c>
      <c r="C183" s="258"/>
      <c r="D183" s="258"/>
      <c r="E183" s="258"/>
      <c r="F183" s="258"/>
      <c r="G183" s="258"/>
      <c r="H183" s="258"/>
      <c r="I183" s="258"/>
      <c r="J183" s="258"/>
      <c r="K183" s="258"/>
      <c r="L183" s="258"/>
      <c r="M183" s="258"/>
      <c r="N183" s="258"/>
      <c r="O183" s="174"/>
    </row>
    <row r="184" spans="1:15" x14ac:dyDescent="0.25">
      <c r="A184" s="164"/>
      <c r="B184" s="306" t="s">
        <v>371</v>
      </c>
      <c r="C184" s="306"/>
      <c r="D184" s="306"/>
      <c r="E184" s="306"/>
      <c r="F184" s="306"/>
      <c r="G184" s="306"/>
      <c r="H184" s="306"/>
      <c r="I184" s="306"/>
      <c r="J184" s="306"/>
      <c r="K184" s="306"/>
      <c r="L184" s="306"/>
      <c r="M184" s="306"/>
      <c r="N184" s="306"/>
      <c r="O184" s="164"/>
    </row>
    <row r="185" spans="1:15" ht="15" customHeight="1" x14ac:dyDescent="0.25">
      <c r="A185" s="164"/>
      <c r="B185" s="307"/>
      <c r="C185" s="307"/>
      <c r="D185" s="307"/>
      <c r="E185" s="307"/>
      <c r="F185" s="307"/>
      <c r="G185" s="307"/>
      <c r="H185" s="307"/>
      <c r="I185" s="307"/>
      <c r="J185" s="307"/>
      <c r="K185" s="307"/>
      <c r="L185" s="307"/>
      <c r="M185" s="307"/>
      <c r="N185" s="307"/>
      <c r="O185" s="174"/>
    </row>
    <row r="186" spans="1:15" x14ac:dyDescent="0.25">
      <c r="A186" s="164"/>
      <c r="B186" s="307"/>
      <c r="C186" s="307"/>
      <c r="D186" s="307"/>
      <c r="E186" s="307"/>
      <c r="F186" s="307"/>
      <c r="G186" s="307"/>
      <c r="H186" s="307"/>
      <c r="I186" s="307"/>
      <c r="J186" s="307"/>
      <c r="K186" s="307"/>
      <c r="L186" s="307"/>
      <c r="M186" s="307"/>
      <c r="N186" s="307"/>
      <c r="O186" s="174"/>
    </row>
    <row r="187" spans="1:15" x14ac:dyDescent="0.25">
      <c r="A187" s="164"/>
      <c r="B187" s="307"/>
      <c r="C187" s="307"/>
      <c r="D187" s="307"/>
      <c r="E187" s="307"/>
      <c r="F187" s="307"/>
      <c r="G187" s="307"/>
      <c r="H187" s="307"/>
      <c r="I187" s="307"/>
      <c r="J187" s="307"/>
      <c r="K187" s="307"/>
      <c r="L187" s="307"/>
      <c r="M187" s="307"/>
      <c r="N187" s="307"/>
      <c r="O187" s="174"/>
    </row>
    <row r="188" spans="1:15" x14ac:dyDescent="0.25">
      <c r="A188" s="164"/>
      <c r="B188" s="307"/>
      <c r="C188" s="307"/>
      <c r="D188" s="307"/>
      <c r="E188" s="307"/>
      <c r="F188" s="307"/>
      <c r="G188" s="307"/>
      <c r="H188" s="307"/>
      <c r="I188" s="307"/>
      <c r="J188" s="307"/>
      <c r="K188" s="307"/>
      <c r="L188" s="307"/>
      <c r="M188" s="307"/>
      <c r="N188" s="307"/>
      <c r="O188" s="174"/>
    </row>
    <row r="189" spans="1:15" x14ac:dyDescent="0.25">
      <c r="A189" s="164"/>
      <c r="B189" s="164"/>
      <c r="C189" s="164"/>
      <c r="D189" s="164"/>
      <c r="E189" s="164"/>
      <c r="F189" s="164"/>
      <c r="G189" s="164"/>
      <c r="H189" s="164"/>
      <c r="I189" s="164"/>
      <c r="J189" s="164"/>
      <c r="K189" s="164"/>
      <c r="L189" s="164"/>
      <c r="M189" s="164"/>
      <c r="N189" s="164"/>
      <c r="O189" s="164"/>
    </row>
    <row r="190" spans="1:15" x14ac:dyDescent="0.25">
      <c r="A190" s="164"/>
      <c r="B190" s="164"/>
      <c r="C190" s="164"/>
      <c r="D190" s="164"/>
      <c r="E190" s="164"/>
      <c r="F190" s="164"/>
      <c r="G190" s="164"/>
      <c r="H190" s="164"/>
      <c r="I190" s="164"/>
      <c r="J190" s="164"/>
      <c r="K190" s="164"/>
      <c r="L190" s="164"/>
      <c r="M190" s="164"/>
      <c r="N190" s="164"/>
      <c r="O190" s="164"/>
    </row>
    <row r="191" spans="1:15" x14ac:dyDescent="0.25">
      <c r="A191" s="164"/>
      <c r="B191" s="164"/>
      <c r="C191" s="164"/>
      <c r="D191" s="164"/>
      <c r="E191" s="164"/>
      <c r="F191" s="164"/>
      <c r="G191" s="164"/>
      <c r="H191" s="164"/>
      <c r="I191" s="164"/>
      <c r="J191" s="164"/>
      <c r="K191" s="164"/>
      <c r="L191" s="164"/>
      <c r="M191" s="164"/>
      <c r="N191" s="164"/>
      <c r="O191" s="164"/>
    </row>
    <row r="192" spans="1:15" x14ac:dyDescent="0.25">
      <c r="A192" s="164"/>
      <c r="B192" s="164"/>
      <c r="C192" s="164"/>
      <c r="D192" s="164"/>
      <c r="E192" s="164"/>
      <c r="F192" s="164"/>
      <c r="G192" s="164"/>
      <c r="H192" s="164"/>
      <c r="I192" s="164"/>
      <c r="J192" s="164"/>
      <c r="K192" s="164"/>
      <c r="L192" s="164"/>
      <c r="M192" s="164"/>
      <c r="N192" s="164"/>
      <c r="O192" s="164"/>
    </row>
    <row r="193" spans="1:15" x14ac:dyDescent="0.25">
      <c r="A193" s="164"/>
      <c r="B193" s="164"/>
      <c r="C193" s="164"/>
      <c r="D193" s="164"/>
      <c r="E193" s="164"/>
      <c r="F193" s="164"/>
      <c r="G193" s="164"/>
      <c r="H193" s="164"/>
      <c r="I193" s="164"/>
      <c r="J193" s="164"/>
      <c r="K193" s="164"/>
      <c r="L193" s="164"/>
      <c r="M193" s="164"/>
      <c r="N193" s="164"/>
      <c r="O193" s="164"/>
    </row>
    <row r="194" spans="1:15" x14ac:dyDescent="0.25">
      <c r="A194" s="164"/>
      <c r="B194" s="164"/>
      <c r="C194" s="164"/>
      <c r="D194" s="164"/>
      <c r="E194" s="164"/>
      <c r="F194" s="164"/>
      <c r="G194" s="164"/>
      <c r="H194" s="164"/>
      <c r="I194" s="164"/>
      <c r="J194" s="164"/>
      <c r="K194" s="164"/>
      <c r="L194" s="164"/>
      <c r="M194" s="164"/>
      <c r="N194" s="164"/>
      <c r="O194" s="164"/>
    </row>
    <row r="195" spans="1:15" x14ac:dyDescent="0.25">
      <c r="A195" s="164"/>
      <c r="B195" s="164"/>
      <c r="C195" s="164"/>
      <c r="D195" s="164"/>
      <c r="E195" s="164"/>
      <c r="F195" s="164"/>
      <c r="G195" s="164"/>
      <c r="H195" s="164"/>
      <c r="I195" s="164"/>
      <c r="J195" s="164"/>
      <c r="K195" s="164"/>
      <c r="L195" s="164"/>
      <c r="M195" s="164"/>
      <c r="N195" s="164"/>
      <c r="O195" s="164"/>
    </row>
    <row r="196" spans="1:15" x14ac:dyDescent="0.25">
      <c r="A196" s="164"/>
      <c r="B196" s="164"/>
      <c r="C196" s="164"/>
      <c r="D196" s="164"/>
      <c r="E196" s="164"/>
      <c r="F196" s="164"/>
      <c r="G196" s="164"/>
      <c r="H196" s="164"/>
      <c r="I196" s="164"/>
      <c r="J196" s="164"/>
      <c r="K196" s="164"/>
      <c r="L196" s="164"/>
      <c r="M196" s="164"/>
      <c r="N196" s="164"/>
      <c r="O196" s="164"/>
    </row>
    <row r="197" spans="1:15" x14ac:dyDescent="0.25">
      <c r="A197" s="164"/>
      <c r="B197" s="164"/>
      <c r="C197" s="164"/>
      <c r="D197" s="164"/>
      <c r="E197" s="164"/>
      <c r="F197" s="164"/>
      <c r="G197" s="164"/>
      <c r="H197" s="164"/>
      <c r="I197" s="164"/>
      <c r="J197" s="164"/>
      <c r="K197" s="164"/>
      <c r="L197" s="164"/>
      <c r="M197" s="164"/>
      <c r="N197" s="164"/>
      <c r="O197" s="164"/>
    </row>
    <row r="198" spans="1:15" x14ac:dyDescent="0.25">
      <c r="A198" s="164"/>
      <c r="B198" s="164"/>
      <c r="C198" s="164"/>
      <c r="D198" s="164"/>
      <c r="E198" s="164"/>
      <c r="F198" s="164"/>
      <c r="G198" s="164"/>
      <c r="H198" s="164"/>
      <c r="I198" s="164"/>
      <c r="J198" s="164"/>
      <c r="K198" s="164"/>
      <c r="L198" s="164"/>
      <c r="M198" s="164"/>
      <c r="N198" s="164"/>
      <c r="O198" s="164"/>
    </row>
    <row r="199" spans="1:15" x14ac:dyDescent="0.25">
      <c r="A199" s="164"/>
      <c r="B199" s="164"/>
      <c r="C199" s="164"/>
      <c r="D199" s="164"/>
      <c r="E199" s="164"/>
      <c r="F199" s="164"/>
      <c r="G199" s="164"/>
      <c r="H199" s="164"/>
      <c r="I199" s="164"/>
      <c r="J199" s="164"/>
      <c r="K199" s="164"/>
      <c r="L199" s="164"/>
      <c r="M199" s="164"/>
      <c r="N199" s="164"/>
      <c r="O199" s="164"/>
    </row>
    <row r="200" spans="1:15" x14ac:dyDescent="0.25">
      <c r="A200" s="164"/>
      <c r="B200" s="164"/>
      <c r="C200" s="164"/>
      <c r="D200" s="164"/>
      <c r="E200" s="164"/>
      <c r="F200" s="164"/>
      <c r="G200" s="164"/>
      <c r="H200" s="164"/>
      <c r="I200" s="164"/>
      <c r="J200" s="164"/>
      <c r="K200" s="164"/>
      <c r="L200" s="164"/>
      <c r="M200" s="164"/>
      <c r="N200" s="164"/>
      <c r="O200" s="164"/>
    </row>
    <row r="201" spans="1:15" x14ac:dyDescent="0.25">
      <c r="A201" s="164"/>
      <c r="B201" s="164"/>
      <c r="C201" s="164"/>
      <c r="D201" s="164"/>
      <c r="E201" s="164"/>
      <c r="F201" s="164"/>
      <c r="G201" s="164"/>
      <c r="H201" s="164"/>
      <c r="I201" s="164"/>
      <c r="J201" s="164"/>
      <c r="K201" s="164"/>
      <c r="L201" s="164"/>
      <c r="M201" s="164"/>
      <c r="N201" s="164"/>
      <c r="O201" s="164"/>
    </row>
    <row r="202" spans="1:15" x14ac:dyDescent="0.25">
      <c r="A202" s="164"/>
      <c r="B202" s="164"/>
      <c r="C202" s="164"/>
      <c r="D202" s="164"/>
      <c r="E202" s="164"/>
      <c r="F202" s="164"/>
      <c r="G202" s="164"/>
      <c r="H202" s="164"/>
      <c r="I202" s="164"/>
      <c r="J202" s="164"/>
      <c r="K202" s="164"/>
      <c r="L202" s="164"/>
      <c r="M202" s="164"/>
      <c r="N202" s="164"/>
      <c r="O202" s="164"/>
    </row>
    <row r="203" spans="1:15" x14ac:dyDescent="0.25">
      <c r="A203" s="164"/>
      <c r="B203" s="164"/>
      <c r="C203" s="164"/>
      <c r="D203" s="164"/>
      <c r="E203" s="164"/>
      <c r="F203" s="164"/>
      <c r="G203" s="164"/>
      <c r="H203" s="164"/>
      <c r="I203" s="164"/>
      <c r="J203" s="164"/>
      <c r="K203" s="164"/>
      <c r="L203" s="164"/>
      <c r="M203" s="164"/>
      <c r="N203" s="164"/>
      <c r="O203" s="164"/>
    </row>
    <row r="204" spans="1:15" x14ac:dyDescent="0.25">
      <c r="A204" s="164"/>
      <c r="B204" s="164"/>
      <c r="C204" s="164"/>
      <c r="D204" s="164"/>
      <c r="E204" s="164"/>
      <c r="F204" s="164"/>
      <c r="G204" s="164"/>
      <c r="H204" s="164"/>
      <c r="I204" s="164"/>
      <c r="J204" s="164"/>
      <c r="K204" s="164"/>
      <c r="L204" s="164"/>
      <c r="M204" s="164"/>
      <c r="N204" s="164"/>
      <c r="O204" s="164"/>
    </row>
    <row r="205" spans="1:15" x14ac:dyDescent="0.25">
      <c r="A205" s="164"/>
      <c r="B205" s="164"/>
      <c r="C205" s="164"/>
      <c r="D205" s="164"/>
      <c r="E205" s="164"/>
      <c r="F205" s="164"/>
      <c r="G205" s="164"/>
      <c r="H205" s="164"/>
      <c r="I205" s="164"/>
      <c r="J205" s="164"/>
      <c r="K205" s="164"/>
      <c r="L205" s="164"/>
      <c r="M205" s="164"/>
      <c r="N205" s="164"/>
      <c r="O205" s="164"/>
    </row>
    <row r="206" spans="1:15" x14ac:dyDescent="0.25">
      <c r="A206" s="164"/>
      <c r="B206" s="164"/>
      <c r="C206" s="164"/>
      <c r="D206" s="164"/>
      <c r="E206" s="164"/>
      <c r="F206" s="164"/>
      <c r="G206" s="164"/>
      <c r="H206" s="164"/>
      <c r="I206" s="164"/>
      <c r="J206" s="164"/>
      <c r="K206" s="164"/>
      <c r="L206" s="164"/>
      <c r="M206" s="164"/>
      <c r="N206" s="164"/>
      <c r="O206" s="164"/>
    </row>
    <row r="207" spans="1:15" x14ac:dyDescent="0.25">
      <c r="A207" s="164"/>
      <c r="B207" s="164"/>
      <c r="C207" s="164"/>
      <c r="D207" s="164"/>
      <c r="E207" s="164"/>
      <c r="F207" s="164"/>
      <c r="G207" s="164"/>
      <c r="H207" s="164"/>
      <c r="I207" s="164"/>
      <c r="J207" s="164"/>
      <c r="K207" s="164"/>
      <c r="L207" s="164"/>
      <c r="M207" s="164"/>
      <c r="N207" s="164"/>
      <c r="O207" s="164"/>
    </row>
    <row r="208" spans="1:15" x14ac:dyDescent="0.25">
      <c r="A208" s="164"/>
      <c r="B208" s="164"/>
      <c r="C208" s="164"/>
      <c r="D208" s="164"/>
      <c r="E208" s="164"/>
      <c r="F208" s="164"/>
      <c r="G208" s="164"/>
      <c r="H208" s="164"/>
      <c r="I208" s="164"/>
      <c r="J208" s="164"/>
      <c r="K208" s="164"/>
      <c r="L208" s="164"/>
      <c r="M208" s="164"/>
      <c r="N208" s="164"/>
      <c r="O208" s="164"/>
    </row>
    <row r="209" spans="1:15" x14ac:dyDescent="0.25">
      <c r="A209" s="164"/>
      <c r="B209" s="164"/>
      <c r="C209" s="164"/>
      <c r="D209" s="164"/>
      <c r="E209" s="164"/>
      <c r="F209" s="164"/>
      <c r="G209" s="164"/>
      <c r="H209" s="164"/>
      <c r="I209" s="164"/>
      <c r="J209" s="164"/>
      <c r="K209" s="164"/>
      <c r="L209" s="164"/>
      <c r="M209" s="164"/>
      <c r="N209" s="164"/>
      <c r="O209" s="164"/>
    </row>
    <row r="210" spans="1:15" x14ac:dyDescent="0.25">
      <c r="A210" s="164"/>
      <c r="B210" s="164"/>
      <c r="C210" s="164"/>
      <c r="D210" s="164"/>
      <c r="E210" s="164"/>
      <c r="F210" s="164"/>
      <c r="G210" s="164"/>
      <c r="H210" s="164"/>
      <c r="I210" s="164"/>
      <c r="J210" s="164"/>
      <c r="K210" s="164"/>
      <c r="L210" s="164"/>
      <c r="M210" s="164"/>
      <c r="N210" s="164"/>
      <c r="O210" s="164"/>
    </row>
    <row r="211" spans="1:15" x14ac:dyDescent="0.25">
      <c r="A211" s="164"/>
      <c r="B211" s="164"/>
      <c r="C211" s="164"/>
      <c r="D211" s="164"/>
      <c r="E211" s="164"/>
      <c r="F211" s="164"/>
      <c r="G211" s="164"/>
      <c r="H211" s="164"/>
      <c r="I211" s="164"/>
      <c r="J211" s="164"/>
      <c r="K211" s="164"/>
      <c r="L211" s="164"/>
      <c r="M211" s="164"/>
      <c r="N211" s="164"/>
      <c r="O211" s="164"/>
    </row>
    <row r="212" spans="1:15" x14ac:dyDescent="0.25">
      <c r="A212" s="164"/>
      <c r="B212" s="164"/>
      <c r="C212" s="164"/>
      <c r="D212" s="164"/>
      <c r="E212" s="164"/>
      <c r="F212" s="164"/>
      <c r="G212" s="164"/>
      <c r="H212" s="164"/>
      <c r="I212" s="164"/>
      <c r="J212" s="164"/>
      <c r="K212" s="164"/>
      <c r="L212" s="164"/>
      <c r="M212" s="164"/>
      <c r="N212" s="164"/>
      <c r="O212" s="164"/>
    </row>
    <row r="213" spans="1:15" x14ac:dyDescent="0.25">
      <c r="A213" s="164"/>
      <c r="B213" s="164"/>
      <c r="C213" s="164"/>
      <c r="D213" s="164"/>
      <c r="E213" s="164"/>
      <c r="F213" s="164"/>
      <c r="G213" s="164"/>
      <c r="H213" s="164"/>
      <c r="I213" s="164"/>
      <c r="J213" s="164"/>
      <c r="K213" s="164"/>
      <c r="L213" s="164"/>
      <c r="M213" s="164"/>
      <c r="N213" s="164"/>
      <c r="O213" s="164"/>
    </row>
    <row r="214" spans="1:15" x14ac:dyDescent="0.25">
      <c r="A214" s="164"/>
      <c r="B214" s="164"/>
      <c r="C214" s="164"/>
      <c r="D214" s="164"/>
      <c r="E214" s="164"/>
      <c r="F214" s="164"/>
      <c r="G214" s="164"/>
      <c r="H214" s="164"/>
      <c r="I214" s="164"/>
      <c r="J214" s="164"/>
      <c r="K214" s="164"/>
      <c r="L214" s="164"/>
      <c r="M214" s="164"/>
      <c r="N214" s="164"/>
      <c r="O214" s="164"/>
    </row>
    <row r="215" spans="1:15" x14ac:dyDescent="0.25">
      <c r="A215" s="164"/>
      <c r="B215" s="164"/>
      <c r="C215" s="164"/>
      <c r="D215" s="164"/>
      <c r="E215" s="164"/>
      <c r="F215" s="164"/>
      <c r="G215" s="164"/>
      <c r="H215" s="164"/>
      <c r="I215" s="164"/>
      <c r="J215" s="164"/>
      <c r="K215" s="164"/>
      <c r="L215" s="164"/>
      <c r="M215" s="164"/>
      <c r="N215" s="164"/>
      <c r="O215" s="164"/>
    </row>
    <row r="216" spans="1:15" x14ac:dyDescent="0.25">
      <c r="A216" s="164"/>
      <c r="B216" s="164"/>
      <c r="C216" s="164"/>
      <c r="D216" s="164"/>
      <c r="E216" s="164"/>
      <c r="F216" s="164"/>
      <c r="G216" s="164"/>
      <c r="H216" s="164"/>
      <c r="I216" s="164"/>
      <c r="J216" s="164"/>
      <c r="K216" s="164"/>
      <c r="L216" s="164"/>
      <c r="M216" s="164"/>
      <c r="N216" s="164"/>
      <c r="O216" s="164"/>
    </row>
    <row r="217" spans="1:15" x14ac:dyDescent="0.25">
      <c r="A217" s="164"/>
      <c r="B217" s="164"/>
      <c r="C217" s="164"/>
      <c r="D217" s="164"/>
      <c r="E217" s="164"/>
      <c r="F217" s="164"/>
      <c r="G217" s="164"/>
      <c r="H217" s="164"/>
      <c r="I217" s="164"/>
      <c r="J217" s="164"/>
      <c r="K217" s="164"/>
      <c r="L217" s="164"/>
      <c r="M217" s="164"/>
      <c r="N217" s="164"/>
      <c r="O217" s="164"/>
    </row>
    <row r="218" spans="1:15" x14ac:dyDescent="0.25">
      <c r="A218" s="164"/>
      <c r="B218" s="164"/>
      <c r="C218" s="164"/>
      <c r="D218" s="164"/>
      <c r="E218" s="164"/>
      <c r="F218" s="164"/>
      <c r="G218" s="164"/>
      <c r="H218" s="164"/>
      <c r="I218" s="164"/>
      <c r="J218" s="164"/>
      <c r="K218" s="164"/>
      <c r="L218" s="164"/>
      <c r="M218" s="164"/>
      <c r="N218" s="164"/>
      <c r="O218" s="164"/>
    </row>
    <row r="219" spans="1:15" x14ac:dyDescent="0.25">
      <c r="A219" s="164"/>
      <c r="B219" s="164"/>
      <c r="C219" s="164"/>
      <c r="D219" s="164"/>
      <c r="E219" s="164"/>
      <c r="F219" s="164"/>
      <c r="G219" s="164"/>
      <c r="H219" s="164"/>
      <c r="I219" s="164"/>
      <c r="J219" s="164"/>
      <c r="K219" s="164"/>
      <c r="L219" s="164"/>
      <c r="M219" s="164"/>
      <c r="N219" s="164"/>
      <c r="O219" s="164"/>
    </row>
    <row r="220" spans="1:15" x14ac:dyDescent="0.25">
      <c r="A220" s="164"/>
      <c r="B220" s="164"/>
      <c r="C220" s="164"/>
      <c r="D220" s="164"/>
      <c r="E220" s="164"/>
      <c r="F220" s="164"/>
      <c r="G220" s="164"/>
      <c r="H220" s="164"/>
      <c r="I220" s="164"/>
      <c r="J220" s="164"/>
      <c r="K220" s="164"/>
      <c r="L220" s="164"/>
      <c r="M220" s="164"/>
      <c r="N220" s="164"/>
      <c r="O220" s="164"/>
    </row>
    <row r="221" spans="1:15" x14ac:dyDescent="0.25">
      <c r="A221" s="164"/>
      <c r="B221" s="164"/>
      <c r="C221" s="164"/>
      <c r="D221" s="164"/>
      <c r="E221" s="164"/>
      <c r="F221" s="164"/>
      <c r="G221" s="164"/>
      <c r="H221" s="164"/>
      <c r="I221" s="164"/>
      <c r="J221" s="164"/>
      <c r="K221" s="164"/>
      <c r="L221" s="164"/>
      <c r="M221" s="164"/>
      <c r="N221" s="164"/>
      <c r="O221" s="164"/>
    </row>
    <row r="222" spans="1:15" x14ac:dyDescent="0.25">
      <c r="A222" s="164"/>
      <c r="B222" s="164"/>
      <c r="C222" s="164"/>
      <c r="D222" s="164"/>
      <c r="E222" s="164"/>
      <c r="F222" s="164"/>
      <c r="G222" s="164"/>
      <c r="H222" s="164"/>
      <c r="I222" s="164"/>
      <c r="J222" s="164"/>
      <c r="K222" s="164"/>
      <c r="L222" s="164"/>
      <c r="M222" s="164"/>
      <c r="N222" s="164"/>
      <c r="O222" s="164"/>
    </row>
    <row r="223" spans="1:15" x14ac:dyDescent="0.25">
      <c r="A223" s="164"/>
      <c r="B223" s="164"/>
      <c r="C223" s="164"/>
      <c r="D223" s="164"/>
      <c r="E223" s="164"/>
      <c r="F223" s="164"/>
      <c r="G223" s="164"/>
      <c r="H223" s="164"/>
      <c r="I223" s="164"/>
      <c r="J223" s="164"/>
      <c r="K223" s="164"/>
      <c r="L223" s="164"/>
      <c r="M223" s="164"/>
      <c r="N223" s="164"/>
      <c r="O223" s="164"/>
    </row>
    <row r="224" spans="1:15" x14ac:dyDescent="0.25">
      <c r="A224" s="164"/>
      <c r="B224" s="164"/>
      <c r="C224" s="164"/>
      <c r="D224" s="164"/>
      <c r="E224" s="164"/>
      <c r="F224" s="164"/>
      <c r="G224" s="164"/>
      <c r="H224" s="164"/>
      <c r="I224" s="164"/>
      <c r="J224" s="164"/>
      <c r="K224" s="164"/>
      <c r="L224" s="164"/>
      <c r="M224" s="164"/>
      <c r="N224" s="164"/>
      <c r="O224" s="164"/>
    </row>
    <row r="225" spans="1:15" x14ac:dyDescent="0.25">
      <c r="A225" s="164"/>
      <c r="B225" s="164"/>
      <c r="C225" s="164"/>
      <c r="D225" s="164"/>
      <c r="E225" s="164"/>
      <c r="F225" s="164"/>
      <c r="G225" s="164"/>
      <c r="H225" s="164"/>
      <c r="I225" s="164"/>
      <c r="J225" s="164"/>
      <c r="K225" s="164"/>
      <c r="L225" s="164"/>
      <c r="M225" s="164"/>
      <c r="N225" s="164"/>
      <c r="O225" s="164"/>
    </row>
    <row r="226" spans="1:15" x14ac:dyDescent="0.25">
      <c r="A226" s="164"/>
      <c r="B226" s="164"/>
      <c r="C226" s="164"/>
      <c r="D226" s="164"/>
      <c r="E226" s="164"/>
      <c r="F226" s="164"/>
      <c r="G226" s="164"/>
      <c r="H226" s="164"/>
      <c r="I226" s="164"/>
      <c r="J226" s="164"/>
      <c r="K226" s="164"/>
      <c r="L226" s="164"/>
      <c r="M226" s="164"/>
      <c r="N226" s="164"/>
      <c r="O226" s="164"/>
    </row>
    <row r="227" spans="1:15" x14ac:dyDescent="0.25">
      <c r="A227" s="164"/>
      <c r="B227" s="164"/>
      <c r="C227" s="164"/>
      <c r="D227" s="164"/>
      <c r="E227" s="164"/>
      <c r="F227" s="164"/>
      <c r="G227" s="164"/>
      <c r="H227" s="164"/>
      <c r="I227" s="164"/>
      <c r="J227" s="164"/>
      <c r="K227" s="164"/>
      <c r="L227" s="164"/>
      <c r="M227" s="164"/>
      <c r="N227" s="164"/>
      <c r="O227" s="164"/>
    </row>
    <row r="228" spans="1:15" x14ac:dyDescent="0.25">
      <c r="A228" s="164"/>
      <c r="B228" s="164"/>
      <c r="C228" s="164"/>
      <c r="D228" s="164"/>
      <c r="E228" s="164"/>
      <c r="F228" s="164"/>
      <c r="G228" s="164"/>
      <c r="H228" s="164"/>
      <c r="I228" s="164"/>
      <c r="J228" s="164"/>
      <c r="K228" s="164"/>
      <c r="L228" s="164"/>
      <c r="M228" s="164"/>
      <c r="N228" s="164"/>
      <c r="O228" s="164"/>
    </row>
    <row r="229" spans="1:15" x14ac:dyDescent="0.25">
      <c r="A229" s="164"/>
      <c r="B229" s="164"/>
      <c r="C229" s="164"/>
      <c r="D229" s="164"/>
      <c r="E229" s="164"/>
      <c r="F229" s="164"/>
      <c r="G229" s="164"/>
      <c r="H229" s="164"/>
      <c r="I229" s="164"/>
      <c r="J229" s="164"/>
      <c r="K229" s="164"/>
      <c r="L229" s="164"/>
      <c r="M229" s="164"/>
      <c r="N229" s="164"/>
      <c r="O229" s="164"/>
    </row>
    <row r="230" spans="1:15" x14ac:dyDescent="0.25">
      <c r="A230" s="164"/>
      <c r="B230" s="164"/>
      <c r="C230" s="164"/>
      <c r="D230" s="164"/>
      <c r="E230" s="164"/>
      <c r="F230" s="164"/>
      <c r="G230" s="164"/>
      <c r="H230" s="164"/>
      <c r="I230" s="164"/>
      <c r="J230" s="164"/>
      <c r="K230" s="164"/>
      <c r="L230" s="164"/>
      <c r="M230" s="164"/>
      <c r="N230" s="164"/>
      <c r="O230" s="164"/>
    </row>
    <row r="231" spans="1:15" x14ac:dyDescent="0.25">
      <c r="A231" s="164"/>
      <c r="B231" s="164"/>
      <c r="C231" s="164"/>
      <c r="D231" s="164"/>
      <c r="E231" s="164"/>
      <c r="F231" s="164"/>
      <c r="G231" s="164"/>
      <c r="H231" s="164"/>
      <c r="I231" s="164"/>
      <c r="J231" s="164"/>
      <c r="K231" s="164"/>
      <c r="L231" s="164"/>
      <c r="M231" s="164"/>
      <c r="N231" s="164"/>
      <c r="O231" s="164"/>
    </row>
  </sheetData>
  <sheetProtection algorithmName="SHA-512" hashValue="SncCVR43s1XhbdOJZ18TIqcq/qdGXn6YaBSQB3DTEqbtORyBXdXfvgmYT1rMzEUtfjuLdskzfuOy96+ugU0XvQ==" saltValue="02JTR6FV08/egaNiO2O/tQ==" spinCount="100000" sheet="1" objects="1" scenarios="1"/>
  <protectedRanges>
    <protectedRange sqref="C4 M4 C5:N8 C24:C28 E25:E28 G28 I28 B92:C94 B96:C97 H92:H95 H97 L91 L94:L96 M24" name="Range1"/>
  </protectedRanges>
  <mergeCells count="72">
    <mergeCell ref="J84:L84"/>
    <mergeCell ref="F170:H170"/>
    <mergeCell ref="K24:L24"/>
    <mergeCell ref="K30:M30"/>
    <mergeCell ref="B184:N188"/>
    <mergeCell ref="D54:F54"/>
    <mergeCell ref="D55:F55"/>
    <mergeCell ref="D56:F56"/>
    <mergeCell ref="G86:M86"/>
    <mergeCell ref="G83:H83"/>
    <mergeCell ref="G84:H84"/>
    <mergeCell ref="K35:L35"/>
    <mergeCell ref="K36:L36"/>
    <mergeCell ref="C34:F34"/>
    <mergeCell ref="D52:F52"/>
    <mergeCell ref="D53:F53"/>
    <mergeCell ref="B183:N183"/>
    <mergeCell ref="B85:D85"/>
    <mergeCell ref="H92:I92"/>
    <mergeCell ref="L147:N148"/>
    <mergeCell ref="B96:C96"/>
    <mergeCell ref="B97:C97"/>
    <mergeCell ref="C165:E165"/>
    <mergeCell ref="G88:N88"/>
    <mergeCell ref="G87:N87"/>
    <mergeCell ref="B84:D84"/>
    <mergeCell ref="G135:J135"/>
    <mergeCell ref="B86:D86"/>
    <mergeCell ref="B181:N181"/>
    <mergeCell ref="B92:C92"/>
    <mergeCell ref="B93:C93"/>
    <mergeCell ref="B94:C94"/>
    <mergeCell ref="G91:I91"/>
    <mergeCell ref="C125:F125"/>
    <mergeCell ref="G125:J125"/>
    <mergeCell ref="B99:F99"/>
    <mergeCell ref="C120:F120"/>
    <mergeCell ref="G120:J120"/>
    <mergeCell ref="G130:J130"/>
    <mergeCell ref="C130:F130"/>
    <mergeCell ref="F175:H175"/>
    <mergeCell ref="J83:L83"/>
    <mergeCell ref="I37:L37"/>
    <mergeCell ref="C35:F35"/>
    <mergeCell ref="C36:F36"/>
    <mergeCell ref="C4:K4"/>
    <mergeCell ref="C5:N5"/>
    <mergeCell ref="C6:N6"/>
    <mergeCell ref="C8:N8"/>
    <mergeCell ref="B23:N23"/>
    <mergeCell ref="E57:F57"/>
    <mergeCell ref="K33:L33"/>
    <mergeCell ref="K34:L34"/>
    <mergeCell ref="B82:N82"/>
    <mergeCell ref="C7:M7"/>
    <mergeCell ref="K25:L25"/>
    <mergeCell ref="A1:A181"/>
    <mergeCell ref="B1:N1"/>
    <mergeCell ref="O1:O181"/>
    <mergeCell ref="B90:E90"/>
    <mergeCell ref="B142:F142"/>
    <mergeCell ref="C160:E160"/>
    <mergeCell ref="F160:H160"/>
    <mergeCell ref="C135:F135"/>
    <mergeCell ref="L104:N105"/>
    <mergeCell ref="C175:E175"/>
    <mergeCell ref="F165:H165"/>
    <mergeCell ref="B95:C95"/>
    <mergeCell ref="C170:E170"/>
    <mergeCell ref="B83:D83"/>
    <mergeCell ref="B2:N2"/>
    <mergeCell ref="M4:N4"/>
  </mergeCells>
  <conditionalFormatting sqref="L147">
    <cfRule type="expression" dxfId="24" priority="9">
      <formula>$C$154="N/A"</formula>
    </cfRule>
  </conditionalFormatting>
  <conditionalFormatting sqref="L104">
    <cfRule type="expression" dxfId="23" priority="8">
      <formula>$C$111="N/A"</formula>
    </cfRule>
  </conditionalFormatting>
  <conditionalFormatting sqref="G86:M86">
    <cfRule type="expression" dxfId="22" priority="3">
      <formula>$F$83="**"</formula>
    </cfRule>
  </conditionalFormatting>
  <conditionalFormatting sqref="K30:M30">
    <cfRule type="expression" dxfId="21" priority="1">
      <formula>$K$30="No Good. Aspect Ratios &gt; 3.5"</formula>
    </cfRule>
  </conditionalFormatting>
  <dataValidations disablePrompts="1" count="1">
    <dataValidation type="list" allowBlank="1" showInputMessage="1" showErrorMessage="1" sqref="B93:C93">
      <formula1>INDIRECT($B$92)</formula1>
    </dataValidation>
  </dataValidations>
  <printOptions horizontalCentered="1"/>
  <pageMargins left="0.7" right="0.7" top="0.5" bottom="0.5" header="0.3" footer="0.3"/>
  <pageSetup scale="57" fitToHeight="0" orientation="portrait" r:id="rId1"/>
  <headerFooter>
    <oddFooter>&amp;C&amp;G</oddFooter>
    <firstHeader>&amp;C&amp;G</firstHeader>
    <firstFooter>&amp;C&amp;G</firstFooter>
  </headerFooter>
  <rowBreaks count="3" manualBreakCount="3">
    <brk id="58" min="1" max="13" man="1"/>
    <brk id="88" min="1" max="13" man="1"/>
    <brk id="140" min="1" max="13" man="1"/>
  </rowBreaks>
  <ignoredErrors>
    <ignoredError sqref="E106:J106 E149:J149 E152:J154 E109:J112 E116:J116 F114 H114 J114 F117:J117 F115 H115 J115 E156:J157 F155 H155 J155" formula="1"/>
  </ignoredErrors>
  <drawing r:id="rId2"/>
  <legacyDrawing r:id="rId3"/>
  <legacyDrawingHF r:id="rId4"/>
  <extLst>
    <ext xmlns:x14="http://schemas.microsoft.com/office/spreadsheetml/2009/9/main" uri="{CCE6A557-97BC-4b89-ADB6-D9C93CAAB3DF}">
      <x14:dataValidations xmlns:xm="http://schemas.microsoft.com/office/excel/2006/main" disablePrompts="1" count="6">
        <x14:dataValidation type="list" allowBlank="1" showInputMessage="1" showErrorMessage="1">
          <x14:formula1>
            <xm:f>LookUp!$A$2:$A$4</xm:f>
          </x14:formula1>
          <xm:sqref>B92:C92</xm:sqref>
        </x14:dataValidation>
        <x14:dataValidation type="list" allowBlank="1" showInputMessage="1" showErrorMessage="1">
          <x14:formula1>
            <xm:f>LookUp!$F$2:$F$3</xm:f>
          </x14:formula1>
          <xm:sqref>L91</xm:sqref>
        </x14:dataValidation>
        <x14:dataValidation type="list" allowBlank="1" showInputMessage="1" showErrorMessage="1">
          <x14:formula1>
            <xm:f>LookUp!$G$2:$G$5</xm:f>
          </x14:formula1>
          <xm:sqref>L94</xm:sqref>
        </x14:dataValidation>
        <x14:dataValidation type="list" allowBlank="1" showInputMessage="1" showErrorMessage="1">
          <x14:formula1>
            <xm:f>LookUp!$H$2:$H$7</xm:f>
          </x14:formula1>
          <xm:sqref>H95</xm:sqref>
        </x14:dataValidation>
        <x14:dataValidation type="list" allowBlank="1" showInputMessage="1" showErrorMessage="1">
          <x14:formula1>
            <xm:f>LookUp!$E$2:$E$3</xm:f>
          </x14:formula1>
          <xm:sqref>B94:C94</xm:sqref>
        </x14:dataValidation>
        <x14:dataValidation type="list" allowBlank="1" showInputMessage="1" showErrorMessage="1">
          <x14:formula1>
            <xm:f>LookUp!$E$10:$E$11</xm:f>
          </x14:formula1>
          <xm:sqref>M24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I157"/>
  <sheetViews>
    <sheetView topLeftCell="A88" workbookViewId="0">
      <selection activeCell="E20" sqref="E20"/>
    </sheetView>
  </sheetViews>
  <sheetFormatPr defaultRowHeight="15" x14ac:dyDescent="0.25"/>
  <cols>
    <col min="1" max="1" width="49.5703125" customWidth="1"/>
    <col min="2" max="2" width="22.85546875" customWidth="1"/>
    <col min="3" max="3" width="19.28515625" customWidth="1"/>
    <col min="4" max="4" width="20.42578125" customWidth="1"/>
    <col min="5" max="5" width="20" customWidth="1"/>
    <col min="6" max="6" width="20.42578125" customWidth="1"/>
    <col min="7" max="7" width="19.85546875" customWidth="1"/>
    <col min="8" max="9" width="19.7109375" customWidth="1"/>
    <col min="10" max="10" width="10.5703125" customWidth="1"/>
  </cols>
  <sheetData>
    <row r="1" spans="1:9" x14ac:dyDescent="0.25">
      <c r="A1" s="22" t="s">
        <v>154</v>
      </c>
      <c r="B1" s="22" t="s">
        <v>148</v>
      </c>
      <c r="C1" s="161" t="s">
        <v>153</v>
      </c>
      <c r="D1" t="s">
        <v>358</v>
      </c>
      <c r="E1" s="22" t="s">
        <v>194</v>
      </c>
      <c r="F1" s="22" t="s">
        <v>152</v>
      </c>
      <c r="G1" s="22" t="s">
        <v>151</v>
      </c>
      <c r="H1" s="22" t="s">
        <v>184</v>
      </c>
      <c r="I1" s="22" t="s">
        <v>179</v>
      </c>
    </row>
    <row r="2" spans="1:9" x14ac:dyDescent="0.25">
      <c r="A2" s="22" t="s">
        <v>359</v>
      </c>
      <c r="B2" s="145" t="s">
        <v>203</v>
      </c>
      <c r="C2" s="145" t="s">
        <v>203</v>
      </c>
      <c r="E2" s="104" t="s">
        <v>192</v>
      </c>
      <c r="F2" s="22" t="s">
        <v>162</v>
      </c>
      <c r="G2" s="22">
        <v>2</v>
      </c>
      <c r="H2" s="22" t="s">
        <v>181</v>
      </c>
      <c r="I2" s="22">
        <v>3.75</v>
      </c>
    </row>
    <row r="3" spans="1:9" x14ac:dyDescent="0.25">
      <c r="A3" s="22" t="s">
        <v>148</v>
      </c>
      <c r="B3" s="145" t="s">
        <v>204</v>
      </c>
      <c r="C3" s="145" t="s">
        <v>205</v>
      </c>
      <c r="E3" s="22" t="s">
        <v>193</v>
      </c>
      <c r="F3" s="22" t="s">
        <v>163</v>
      </c>
      <c r="G3" s="22">
        <v>3</v>
      </c>
      <c r="H3" s="22" t="s">
        <v>176</v>
      </c>
      <c r="I3" s="22">
        <f>1.5*3.5</f>
        <v>5.25</v>
      </c>
    </row>
    <row r="4" spans="1:9" x14ac:dyDescent="0.25">
      <c r="A4" s="161" t="s">
        <v>153</v>
      </c>
      <c r="B4" s="145" t="s">
        <v>205</v>
      </c>
      <c r="C4" s="145" t="s">
        <v>206</v>
      </c>
      <c r="F4" s="22"/>
      <c r="G4" s="22">
        <v>4</v>
      </c>
      <c r="H4" s="22" t="s">
        <v>177</v>
      </c>
      <c r="I4" s="22">
        <f>2.5*3.5</f>
        <v>8.75</v>
      </c>
    </row>
    <row r="5" spans="1:9" x14ac:dyDescent="0.25">
      <c r="B5" s="145" t="s">
        <v>206</v>
      </c>
      <c r="C5" s="145"/>
      <c r="G5" s="22">
        <v>6</v>
      </c>
      <c r="H5" s="22" t="s">
        <v>182</v>
      </c>
      <c r="I5" s="22">
        <f>1.5*4.5</f>
        <v>6.75</v>
      </c>
    </row>
    <row r="6" spans="1:9" x14ac:dyDescent="0.25">
      <c r="A6" s="144"/>
      <c r="B6" s="22"/>
      <c r="H6" s="22" t="s">
        <v>178</v>
      </c>
      <c r="I6" s="22">
        <v>8.25</v>
      </c>
    </row>
    <row r="7" spans="1:9" x14ac:dyDescent="0.25">
      <c r="A7" s="144"/>
      <c r="B7" s="22"/>
      <c r="F7" s="41"/>
      <c r="H7" s="22" t="s">
        <v>183</v>
      </c>
      <c r="I7" s="22">
        <f>2.5*5.5</f>
        <v>13.75</v>
      </c>
    </row>
    <row r="8" spans="1:9" x14ac:dyDescent="0.25">
      <c r="A8" s="144"/>
      <c r="B8" s="22"/>
      <c r="D8" s="22"/>
      <c r="E8" s="22"/>
    </row>
    <row r="9" spans="1:9" x14ac:dyDescent="0.25">
      <c r="A9" s="41" t="s">
        <v>149</v>
      </c>
      <c r="E9" s="211" t="s">
        <v>430</v>
      </c>
    </row>
    <row r="10" spans="1:9" ht="18" x14ac:dyDescent="0.35">
      <c r="A10" s="22" t="s">
        <v>146</v>
      </c>
      <c r="B10" s="22" t="s">
        <v>156</v>
      </c>
      <c r="C10" t="s">
        <v>165</v>
      </c>
      <c r="E10" s="211" t="s">
        <v>428</v>
      </c>
    </row>
    <row r="11" spans="1:9" ht="18" x14ac:dyDescent="0.35">
      <c r="A11" s="22" t="s">
        <v>195</v>
      </c>
      <c r="B11" s="22"/>
      <c r="C11">
        <v>77500</v>
      </c>
      <c r="E11" s="215" t="s">
        <v>429</v>
      </c>
    </row>
    <row r="12" spans="1:9" x14ac:dyDescent="0.25">
      <c r="A12" s="22" t="s">
        <v>196</v>
      </c>
      <c r="B12" s="22"/>
      <c r="C12">
        <v>83500</v>
      </c>
    </row>
    <row r="13" spans="1:9" x14ac:dyDescent="0.25">
      <c r="A13" s="22" t="s">
        <v>197</v>
      </c>
      <c r="B13" s="22"/>
      <c r="C13">
        <v>83500</v>
      </c>
    </row>
    <row r="14" spans="1:9" x14ac:dyDescent="0.25">
      <c r="A14" s="110" t="s">
        <v>198</v>
      </c>
      <c r="B14" s="110"/>
      <c r="C14" s="112">
        <v>83500</v>
      </c>
    </row>
    <row r="15" spans="1:9" x14ac:dyDescent="0.25">
      <c r="A15" s="22" t="s">
        <v>199</v>
      </c>
      <c r="B15" s="22"/>
      <c r="C15">
        <v>77500</v>
      </c>
    </row>
    <row r="16" spans="1:9" x14ac:dyDescent="0.25">
      <c r="A16" s="22" t="s">
        <v>200</v>
      </c>
      <c r="B16" s="22"/>
      <c r="C16">
        <v>83500</v>
      </c>
      <c r="D16" s="109"/>
    </row>
    <row r="17" spans="1:3" x14ac:dyDescent="0.25">
      <c r="A17" s="22" t="s">
        <v>201</v>
      </c>
      <c r="B17" s="22"/>
      <c r="C17">
        <v>83500</v>
      </c>
    </row>
    <row r="18" spans="1:3" x14ac:dyDescent="0.25">
      <c r="A18" s="110" t="s">
        <v>202</v>
      </c>
      <c r="B18" s="110"/>
      <c r="C18" s="112">
        <v>83500</v>
      </c>
    </row>
    <row r="19" spans="1:3" x14ac:dyDescent="0.25">
      <c r="A19" s="22" t="s">
        <v>272</v>
      </c>
      <c r="B19" s="22"/>
      <c r="C19">
        <v>25000</v>
      </c>
    </row>
    <row r="20" spans="1:3" x14ac:dyDescent="0.25">
      <c r="A20" s="161" t="s">
        <v>273</v>
      </c>
      <c r="B20" s="161"/>
      <c r="C20" s="162" t="s">
        <v>168</v>
      </c>
    </row>
    <row r="21" spans="1:3" x14ac:dyDescent="0.25">
      <c r="A21" s="146" t="s">
        <v>275</v>
      </c>
      <c r="B21" s="146"/>
      <c r="C21" s="3">
        <v>27000</v>
      </c>
    </row>
    <row r="22" spans="1:3" x14ac:dyDescent="0.25">
      <c r="A22" s="110" t="s">
        <v>278</v>
      </c>
      <c r="B22" s="110"/>
      <c r="C22" s="112">
        <v>28500</v>
      </c>
    </row>
    <row r="23" spans="1:3" x14ac:dyDescent="0.25">
      <c r="A23" s="22" t="s">
        <v>271</v>
      </c>
      <c r="B23" s="22"/>
      <c r="C23">
        <v>32500</v>
      </c>
    </row>
    <row r="24" spans="1:3" x14ac:dyDescent="0.25">
      <c r="A24" s="161" t="s">
        <v>274</v>
      </c>
      <c r="B24" s="161"/>
      <c r="C24" s="162" t="s">
        <v>168</v>
      </c>
    </row>
    <row r="25" spans="1:3" x14ac:dyDescent="0.25">
      <c r="A25" s="22" t="s">
        <v>276</v>
      </c>
      <c r="B25" s="22"/>
      <c r="C25">
        <v>44500</v>
      </c>
    </row>
    <row r="26" spans="1:3" x14ac:dyDescent="0.25">
      <c r="A26" s="22" t="s">
        <v>277</v>
      </c>
      <c r="B26" s="22"/>
      <c r="C26">
        <v>47500</v>
      </c>
    </row>
    <row r="28" spans="1:3" x14ac:dyDescent="0.25">
      <c r="A28" t="s">
        <v>150</v>
      </c>
    </row>
    <row r="29" spans="1:3" x14ac:dyDescent="0.25">
      <c r="A29" s="22" t="s">
        <v>166</v>
      </c>
      <c r="B29" s="22" t="s">
        <v>156</v>
      </c>
      <c r="C29" t="s">
        <v>167</v>
      </c>
    </row>
    <row r="30" spans="1:3" x14ac:dyDescent="0.25">
      <c r="A30" s="22" t="s">
        <v>207</v>
      </c>
      <c r="B30" s="22"/>
      <c r="C30">
        <v>45</v>
      </c>
    </row>
    <row r="31" spans="1:3" x14ac:dyDescent="0.25">
      <c r="A31" s="22" t="s">
        <v>208</v>
      </c>
      <c r="B31" s="22"/>
      <c r="C31">
        <v>31</v>
      </c>
    </row>
    <row r="32" spans="1:3" x14ac:dyDescent="0.25">
      <c r="A32" s="22" t="s">
        <v>209</v>
      </c>
      <c r="B32" s="22"/>
      <c r="C32">
        <v>25</v>
      </c>
    </row>
    <row r="33" spans="1:3" x14ac:dyDescent="0.25">
      <c r="A33" s="110" t="s">
        <v>210</v>
      </c>
      <c r="B33" s="110"/>
      <c r="C33" s="112">
        <v>17</v>
      </c>
    </row>
    <row r="34" spans="1:3" x14ac:dyDescent="0.25">
      <c r="A34" s="22" t="s">
        <v>211</v>
      </c>
      <c r="B34" s="123"/>
      <c r="C34" s="136" t="s">
        <v>168</v>
      </c>
    </row>
    <row r="35" spans="1:3" x14ac:dyDescent="0.25">
      <c r="A35" s="22" t="s">
        <v>212</v>
      </c>
      <c r="B35" s="123"/>
      <c r="C35" s="136" t="s">
        <v>168</v>
      </c>
    </row>
    <row r="36" spans="1:3" x14ac:dyDescent="0.25">
      <c r="A36" s="22" t="s">
        <v>213</v>
      </c>
      <c r="B36" s="123"/>
      <c r="C36" s="136" t="s">
        <v>168</v>
      </c>
    </row>
    <row r="37" spans="1:3" x14ac:dyDescent="0.25">
      <c r="A37" s="110" t="s">
        <v>214</v>
      </c>
      <c r="B37" s="110"/>
      <c r="C37" s="137" t="s">
        <v>168</v>
      </c>
    </row>
    <row r="38" spans="1:3" x14ac:dyDescent="0.25">
      <c r="A38" s="22" t="s">
        <v>215</v>
      </c>
      <c r="B38" s="22"/>
      <c r="C38" s="92">
        <v>42</v>
      </c>
    </row>
    <row r="39" spans="1:3" x14ac:dyDescent="0.25">
      <c r="A39" s="22" t="s">
        <v>216</v>
      </c>
      <c r="B39" s="22"/>
      <c r="C39" s="92">
        <v>28</v>
      </c>
    </row>
    <row r="40" spans="1:3" x14ac:dyDescent="0.25">
      <c r="A40" s="22" t="s">
        <v>217</v>
      </c>
      <c r="B40" s="22"/>
      <c r="C40" s="92">
        <v>22</v>
      </c>
    </row>
    <row r="41" spans="1:3" x14ac:dyDescent="0.25">
      <c r="A41" s="110" t="s">
        <v>218</v>
      </c>
      <c r="B41" s="110"/>
      <c r="C41" s="111">
        <v>15</v>
      </c>
    </row>
    <row r="42" spans="1:3" x14ac:dyDescent="0.25">
      <c r="A42" s="22" t="s">
        <v>219</v>
      </c>
      <c r="B42" s="123"/>
      <c r="C42" s="136" t="s">
        <v>168</v>
      </c>
    </row>
    <row r="43" spans="1:3" x14ac:dyDescent="0.25">
      <c r="A43" s="22" t="s">
        <v>220</v>
      </c>
      <c r="B43" s="123"/>
      <c r="C43" s="136" t="s">
        <v>168</v>
      </c>
    </row>
    <row r="44" spans="1:3" x14ac:dyDescent="0.25">
      <c r="A44" s="22" t="s">
        <v>221</v>
      </c>
      <c r="B44" s="123"/>
      <c r="C44" s="136" t="s">
        <v>168</v>
      </c>
    </row>
    <row r="45" spans="1:3" x14ac:dyDescent="0.25">
      <c r="A45" s="110" t="s">
        <v>222</v>
      </c>
      <c r="B45" s="110"/>
      <c r="C45" s="137" t="s">
        <v>168</v>
      </c>
    </row>
    <row r="46" spans="1:3" x14ac:dyDescent="0.25">
      <c r="A46" s="22" t="s">
        <v>223</v>
      </c>
      <c r="B46" s="22"/>
      <c r="C46">
        <v>39</v>
      </c>
    </row>
    <row r="47" spans="1:3" x14ac:dyDescent="0.25">
      <c r="A47" s="22" t="s">
        <v>224</v>
      </c>
      <c r="B47" s="22"/>
      <c r="C47">
        <v>25</v>
      </c>
    </row>
    <row r="48" spans="1:3" x14ac:dyDescent="0.25">
      <c r="A48" s="22" t="s">
        <v>225</v>
      </c>
      <c r="B48" s="22"/>
      <c r="C48">
        <v>19</v>
      </c>
    </row>
    <row r="49" spans="1:3" x14ac:dyDescent="0.25">
      <c r="A49" s="110" t="s">
        <v>226</v>
      </c>
      <c r="B49" s="110"/>
      <c r="C49" s="112">
        <v>13</v>
      </c>
    </row>
    <row r="50" spans="1:3" x14ac:dyDescent="0.25">
      <c r="A50" s="22" t="s">
        <v>227</v>
      </c>
      <c r="B50" s="22"/>
      <c r="C50">
        <v>52</v>
      </c>
    </row>
    <row r="51" spans="1:3" x14ac:dyDescent="0.25">
      <c r="A51" s="22" t="s">
        <v>228</v>
      </c>
      <c r="B51" s="22"/>
      <c r="C51">
        <v>37</v>
      </c>
    </row>
    <row r="52" spans="1:3" x14ac:dyDescent="0.25">
      <c r="A52" s="22" t="s">
        <v>229</v>
      </c>
      <c r="B52" s="22"/>
      <c r="C52">
        <v>30</v>
      </c>
    </row>
    <row r="53" spans="1:3" x14ac:dyDescent="0.25">
      <c r="A53" s="110" t="s">
        <v>230</v>
      </c>
      <c r="B53" s="110"/>
      <c r="C53" s="112">
        <v>22</v>
      </c>
    </row>
    <row r="54" spans="1:3" x14ac:dyDescent="0.25">
      <c r="A54" s="22" t="s">
        <v>231</v>
      </c>
      <c r="B54" s="123"/>
      <c r="C54" s="136" t="s">
        <v>168</v>
      </c>
    </row>
    <row r="55" spans="1:3" x14ac:dyDescent="0.25">
      <c r="A55" s="22" t="s">
        <v>232</v>
      </c>
      <c r="B55" s="123"/>
      <c r="C55" s="136" t="s">
        <v>168</v>
      </c>
    </row>
    <row r="56" spans="1:3" x14ac:dyDescent="0.25">
      <c r="A56" s="22" t="s">
        <v>233</v>
      </c>
      <c r="B56" s="123"/>
      <c r="C56" s="136" t="s">
        <v>168</v>
      </c>
    </row>
    <row r="57" spans="1:3" x14ac:dyDescent="0.25">
      <c r="A57" s="110" t="s">
        <v>234</v>
      </c>
      <c r="B57" s="110"/>
      <c r="C57" s="137" t="s">
        <v>168</v>
      </c>
    </row>
    <row r="58" spans="1:3" x14ac:dyDescent="0.25">
      <c r="A58" s="22" t="s">
        <v>235</v>
      </c>
      <c r="B58" s="22"/>
      <c r="C58" s="24">
        <v>48</v>
      </c>
    </row>
    <row r="59" spans="1:3" x14ac:dyDescent="0.25">
      <c r="A59" s="22" t="s">
        <v>236</v>
      </c>
      <c r="B59" s="22"/>
      <c r="C59">
        <v>33</v>
      </c>
    </row>
    <row r="60" spans="1:3" x14ac:dyDescent="0.25">
      <c r="A60" s="22" t="s">
        <v>237</v>
      </c>
      <c r="B60" s="22"/>
      <c r="C60">
        <v>26</v>
      </c>
    </row>
    <row r="61" spans="1:3" x14ac:dyDescent="0.25">
      <c r="A61" s="110" t="s">
        <v>238</v>
      </c>
      <c r="B61" s="110"/>
      <c r="C61" s="112">
        <v>19</v>
      </c>
    </row>
    <row r="62" spans="1:3" x14ac:dyDescent="0.25">
      <c r="A62" s="22" t="s">
        <v>239</v>
      </c>
      <c r="B62" s="123"/>
      <c r="C62" s="3">
        <v>43</v>
      </c>
    </row>
    <row r="63" spans="1:3" x14ac:dyDescent="0.25">
      <c r="A63" s="22" t="s">
        <v>240</v>
      </c>
      <c r="B63" s="123"/>
      <c r="C63" s="3">
        <v>30</v>
      </c>
    </row>
    <row r="64" spans="1:3" x14ac:dyDescent="0.25">
      <c r="A64" s="22" t="s">
        <v>241</v>
      </c>
      <c r="B64" s="123"/>
      <c r="C64" s="3">
        <v>24</v>
      </c>
    </row>
    <row r="65" spans="1:3" x14ac:dyDescent="0.25">
      <c r="A65" s="110" t="s">
        <v>242</v>
      </c>
      <c r="B65" s="110"/>
      <c r="C65" s="112">
        <v>19</v>
      </c>
    </row>
    <row r="66" spans="1:3" x14ac:dyDescent="0.25">
      <c r="A66" s="22" t="s">
        <v>243</v>
      </c>
      <c r="B66" s="123"/>
      <c r="C66" s="136" t="s">
        <v>168</v>
      </c>
    </row>
    <row r="67" spans="1:3" x14ac:dyDescent="0.25">
      <c r="A67" s="22" t="s">
        <v>244</v>
      </c>
      <c r="B67" s="123"/>
      <c r="C67" s="136" t="s">
        <v>168</v>
      </c>
    </row>
    <row r="68" spans="1:3" x14ac:dyDescent="0.25">
      <c r="A68" s="22" t="s">
        <v>245</v>
      </c>
      <c r="B68" s="123"/>
      <c r="C68" s="136" t="s">
        <v>168</v>
      </c>
    </row>
    <row r="69" spans="1:3" x14ac:dyDescent="0.25">
      <c r="A69" s="110" t="s">
        <v>246</v>
      </c>
      <c r="B69" s="110"/>
      <c r="C69" s="137" t="s">
        <v>168</v>
      </c>
    </row>
    <row r="70" spans="1:3" x14ac:dyDescent="0.25">
      <c r="A70" s="22" t="s">
        <v>247</v>
      </c>
      <c r="B70" s="22"/>
      <c r="C70" s="92">
        <v>40</v>
      </c>
    </row>
    <row r="71" spans="1:3" x14ac:dyDescent="0.25">
      <c r="A71" s="22" t="s">
        <v>248</v>
      </c>
      <c r="B71" s="22"/>
      <c r="C71" s="92">
        <v>27</v>
      </c>
    </row>
    <row r="72" spans="1:3" x14ac:dyDescent="0.25">
      <c r="A72" s="22" t="s">
        <v>249</v>
      </c>
      <c r="B72" s="22"/>
      <c r="C72" s="92">
        <v>21</v>
      </c>
    </row>
    <row r="73" spans="1:3" x14ac:dyDescent="0.25">
      <c r="A73" s="110" t="s">
        <v>250</v>
      </c>
      <c r="B73" s="110"/>
      <c r="C73" s="111">
        <v>16</v>
      </c>
    </row>
    <row r="74" spans="1:3" x14ac:dyDescent="0.25">
      <c r="A74" s="22" t="s">
        <v>251</v>
      </c>
      <c r="B74" s="123"/>
      <c r="C74" s="136" t="s">
        <v>168</v>
      </c>
    </row>
    <row r="75" spans="1:3" x14ac:dyDescent="0.25">
      <c r="A75" s="22" t="s">
        <v>252</v>
      </c>
      <c r="B75" s="123"/>
      <c r="C75" s="136" t="s">
        <v>168</v>
      </c>
    </row>
    <row r="76" spans="1:3" x14ac:dyDescent="0.25">
      <c r="A76" s="22" t="s">
        <v>253</v>
      </c>
      <c r="B76" s="123"/>
      <c r="C76" s="136" t="s">
        <v>168</v>
      </c>
    </row>
    <row r="77" spans="1:3" x14ac:dyDescent="0.25">
      <c r="A77" s="110" t="s">
        <v>254</v>
      </c>
      <c r="B77" s="110"/>
      <c r="C77" s="137" t="s">
        <v>168</v>
      </c>
    </row>
    <row r="78" spans="1:3" x14ac:dyDescent="0.25">
      <c r="A78" s="22" t="s">
        <v>255</v>
      </c>
      <c r="B78" s="22"/>
      <c r="C78">
        <v>37</v>
      </c>
    </row>
    <row r="79" spans="1:3" x14ac:dyDescent="0.25">
      <c r="A79" s="22" t="s">
        <v>256</v>
      </c>
      <c r="B79" s="22"/>
      <c r="C79">
        <v>24</v>
      </c>
    </row>
    <row r="80" spans="1:3" x14ac:dyDescent="0.25">
      <c r="A80" s="22" t="s">
        <v>257</v>
      </c>
      <c r="B80" s="22"/>
      <c r="C80">
        <v>18</v>
      </c>
    </row>
    <row r="81" spans="1:3" x14ac:dyDescent="0.25">
      <c r="A81" s="110" t="s">
        <v>258</v>
      </c>
      <c r="B81" s="110"/>
      <c r="C81" s="112">
        <v>14</v>
      </c>
    </row>
    <row r="82" spans="1:3" x14ac:dyDescent="0.25">
      <c r="A82" s="22" t="s">
        <v>259</v>
      </c>
      <c r="B82" s="22"/>
      <c r="C82">
        <v>51</v>
      </c>
    </row>
    <row r="83" spans="1:3" x14ac:dyDescent="0.25">
      <c r="A83" s="22" t="s">
        <v>260</v>
      </c>
      <c r="B83" s="22"/>
      <c r="C83">
        <v>36</v>
      </c>
    </row>
    <row r="84" spans="1:3" x14ac:dyDescent="0.25">
      <c r="A84" s="22" t="s">
        <v>261</v>
      </c>
      <c r="B84" s="22"/>
      <c r="C84">
        <v>29</v>
      </c>
    </row>
    <row r="85" spans="1:3" x14ac:dyDescent="0.25">
      <c r="A85" s="110" t="s">
        <v>262</v>
      </c>
      <c r="B85" s="110"/>
      <c r="C85" s="112">
        <v>22</v>
      </c>
    </row>
    <row r="86" spans="1:3" x14ac:dyDescent="0.25">
      <c r="A86" s="22" t="s">
        <v>263</v>
      </c>
      <c r="B86" s="123"/>
      <c r="C86" s="136" t="s">
        <v>168</v>
      </c>
    </row>
    <row r="87" spans="1:3" x14ac:dyDescent="0.25">
      <c r="A87" s="22" t="s">
        <v>264</v>
      </c>
      <c r="B87" s="123"/>
      <c r="C87" s="136" t="s">
        <v>168</v>
      </c>
    </row>
    <row r="88" spans="1:3" x14ac:dyDescent="0.25">
      <c r="A88" s="22" t="s">
        <v>265</v>
      </c>
      <c r="B88" s="123"/>
      <c r="C88" s="136" t="s">
        <v>168</v>
      </c>
    </row>
    <row r="89" spans="1:3" x14ac:dyDescent="0.25">
      <c r="A89" s="110" t="s">
        <v>266</v>
      </c>
      <c r="B89" s="110"/>
      <c r="C89" s="137" t="s">
        <v>168</v>
      </c>
    </row>
    <row r="90" spans="1:3" x14ac:dyDescent="0.25">
      <c r="A90" s="22" t="s">
        <v>267</v>
      </c>
      <c r="B90" s="123"/>
      <c r="C90" s="136" t="s">
        <v>168</v>
      </c>
    </row>
    <row r="91" spans="1:3" x14ac:dyDescent="0.25">
      <c r="A91" s="22" t="s">
        <v>268</v>
      </c>
      <c r="B91" s="123"/>
      <c r="C91" s="136" t="s">
        <v>168</v>
      </c>
    </row>
    <row r="92" spans="1:3" x14ac:dyDescent="0.25">
      <c r="A92" s="22" t="s">
        <v>269</v>
      </c>
      <c r="B92" s="123"/>
      <c r="C92" s="136" t="s">
        <v>168</v>
      </c>
    </row>
    <row r="93" spans="1:3" x14ac:dyDescent="0.25">
      <c r="A93" s="110" t="s">
        <v>270</v>
      </c>
      <c r="B93" s="110"/>
      <c r="C93" s="137" t="s">
        <v>168</v>
      </c>
    </row>
    <row r="94" spans="1:3" x14ac:dyDescent="0.25">
      <c r="A94" s="22" t="s">
        <v>279</v>
      </c>
      <c r="B94" s="123"/>
      <c r="C94" s="3">
        <v>20</v>
      </c>
    </row>
    <row r="95" spans="1:3" x14ac:dyDescent="0.25">
      <c r="A95" s="22" t="s">
        <v>280</v>
      </c>
      <c r="B95" s="123"/>
      <c r="C95" s="3">
        <v>17</v>
      </c>
    </row>
    <row r="96" spans="1:3" x14ac:dyDescent="0.25">
      <c r="A96" s="22" t="s">
        <v>281</v>
      </c>
      <c r="B96" s="123"/>
      <c r="C96" s="3">
        <v>15</v>
      </c>
    </row>
    <row r="97" spans="1:3" x14ac:dyDescent="0.25">
      <c r="A97" s="110" t="s">
        <v>282</v>
      </c>
      <c r="B97" s="110"/>
      <c r="C97" s="112">
        <v>12</v>
      </c>
    </row>
    <row r="98" spans="1:3" x14ac:dyDescent="0.25">
      <c r="A98" s="22" t="s">
        <v>287</v>
      </c>
      <c r="B98" s="123"/>
      <c r="C98" s="136" t="s">
        <v>168</v>
      </c>
    </row>
    <row r="99" spans="1:3" x14ac:dyDescent="0.25">
      <c r="A99" s="22" t="s">
        <v>288</v>
      </c>
      <c r="B99" s="123"/>
      <c r="C99" s="136" t="s">
        <v>168</v>
      </c>
    </row>
    <row r="100" spans="1:3" x14ac:dyDescent="0.25">
      <c r="A100" s="22" t="s">
        <v>289</v>
      </c>
      <c r="B100" s="123"/>
      <c r="C100" s="136" t="s">
        <v>168</v>
      </c>
    </row>
    <row r="101" spans="1:3" x14ac:dyDescent="0.25">
      <c r="A101" s="110" t="s">
        <v>290</v>
      </c>
      <c r="B101" s="110"/>
      <c r="C101" s="137" t="s">
        <v>168</v>
      </c>
    </row>
    <row r="102" spans="1:3" x14ac:dyDescent="0.25">
      <c r="A102" s="22" t="s">
        <v>283</v>
      </c>
      <c r="B102" s="123"/>
      <c r="C102" s="136">
        <v>24</v>
      </c>
    </row>
    <row r="103" spans="1:3" x14ac:dyDescent="0.25">
      <c r="A103" s="22" t="s">
        <v>284</v>
      </c>
      <c r="B103" s="123"/>
      <c r="C103" s="136">
        <v>20</v>
      </c>
    </row>
    <row r="104" spans="1:3" x14ac:dyDescent="0.25">
      <c r="A104" s="22" t="s">
        <v>285</v>
      </c>
      <c r="B104" s="123"/>
      <c r="C104" s="136">
        <v>17</v>
      </c>
    </row>
    <row r="105" spans="1:3" x14ac:dyDescent="0.25">
      <c r="A105" s="110" t="s">
        <v>286</v>
      </c>
      <c r="B105" s="110"/>
      <c r="C105" s="137">
        <v>14</v>
      </c>
    </row>
    <row r="106" spans="1:3" x14ac:dyDescent="0.25">
      <c r="A106" s="22" t="s">
        <v>291</v>
      </c>
      <c r="B106" s="123"/>
      <c r="C106" s="136" t="s">
        <v>168</v>
      </c>
    </row>
    <row r="107" spans="1:3" x14ac:dyDescent="0.25">
      <c r="A107" s="22" t="s">
        <v>292</v>
      </c>
      <c r="B107" s="123"/>
      <c r="C107" s="136" t="s">
        <v>168</v>
      </c>
    </row>
    <row r="108" spans="1:3" x14ac:dyDescent="0.25">
      <c r="A108" s="22" t="s">
        <v>293</v>
      </c>
      <c r="B108" s="123"/>
      <c r="C108" s="136" t="s">
        <v>168</v>
      </c>
    </row>
    <row r="109" spans="1:3" x14ac:dyDescent="0.25">
      <c r="A109" s="110" t="s">
        <v>294</v>
      </c>
      <c r="B109" s="110"/>
      <c r="C109" s="137" t="s">
        <v>168</v>
      </c>
    </row>
    <row r="110" spans="1:3" x14ac:dyDescent="0.25">
      <c r="A110" s="161" t="s">
        <v>295</v>
      </c>
      <c r="B110" s="163"/>
      <c r="C110" s="136" t="s">
        <v>168</v>
      </c>
    </row>
    <row r="111" spans="1:3" x14ac:dyDescent="0.25">
      <c r="A111" s="161" t="s">
        <v>296</v>
      </c>
      <c r="B111" s="163"/>
      <c r="C111" s="136" t="s">
        <v>168</v>
      </c>
    </row>
    <row r="112" spans="1:3" x14ac:dyDescent="0.25">
      <c r="A112" s="161" t="s">
        <v>297</v>
      </c>
      <c r="B112" s="163"/>
      <c r="C112" s="136" t="s">
        <v>168</v>
      </c>
    </row>
    <row r="113" spans="1:3" x14ac:dyDescent="0.25">
      <c r="A113" s="110" t="s">
        <v>298</v>
      </c>
      <c r="B113" s="110"/>
      <c r="C113" s="137" t="s">
        <v>168</v>
      </c>
    </row>
    <row r="114" spans="1:3" x14ac:dyDescent="0.25">
      <c r="A114" s="161" t="s">
        <v>299</v>
      </c>
      <c r="B114" s="163"/>
      <c r="C114" s="136" t="s">
        <v>168</v>
      </c>
    </row>
    <row r="115" spans="1:3" x14ac:dyDescent="0.25">
      <c r="A115" s="161" t="s">
        <v>300</v>
      </c>
      <c r="B115" s="163"/>
      <c r="C115" s="136" t="s">
        <v>168</v>
      </c>
    </row>
    <row r="116" spans="1:3" x14ac:dyDescent="0.25">
      <c r="A116" s="161" t="s">
        <v>301</v>
      </c>
      <c r="B116" s="163"/>
      <c r="C116" s="136" t="s">
        <v>168</v>
      </c>
    </row>
    <row r="117" spans="1:3" x14ac:dyDescent="0.25">
      <c r="A117" s="110" t="s">
        <v>302</v>
      </c>
      <c r="B117" s="110"/>
      <c r="C117" s="137" t="s">
        <v>168</v>
      </c>
    </row>
    <row r="118" spans="1:3" x14ac:dyDescent="0.25">
      <c r="A118" s="161" t="s">
        <v>303</v>
      </c>
      <c r="B118" s="163"/>
      <c r="C118" s="136" t="s">
        <v>168</v>
      </c>
    </row>
    <row r="119" spans="1:3" x14ac:dyDescent="0.25">
      <c r="A119" s="161" t="s">
        <v>304</v>
      </c>
      <c r="B119" s="163"/>
      <c r="C119" s="136" t="s">
        <v>168</v>
      </c>
    </row>
    <row r="120" spans="1:3" x14ac:dyDescent="0.25">
      <c r="A120" s="161" t="s">
        <v>305</v>
      </c>
      <c r="B120" s="163"/>
      <c r="C120" s="136" t="s">
        <v>168</v>
      </c>
    </row>
    <row r="121" spans="1:3" x14ac:dyDescent="0.25">
      <c r="A121" s="110" t="s">
        <v>306</v>
      </c>
      <c r="B121" s="110"/>
      <c r="C121" s="137" t="s">
        <v>168</v>
      </c>
    </row>
    <row r="122" spans="1:3" x14ac:dyDescent="0.25">
      <c r="A122" s="161" t="s">
        <v>307</v>
      </c>
      <c r="B122" s="163"/>
      <c r="C122" s="136" t="s">
        <v>168</v>
      </c>
    </row>
    <row r="123" spans="1:3" x14ac:dyDescent="0.25">
      <c r="A123" s="161" t="s">
        <v>308</v>
      </c>
      <c r="B123" s="163"/>
      <c r="C123" s="136" t="s">
        <v>168</v>
      </c>
    </row>
    <row r="124" spans="1:3" x14ac:dyDescent="0.25">
      <c r="A124" s="161" t="s">
        <v>309</v>
      </c>
      <c r="B124" s="163"/>
      <c r="C124" s="136" t="s">
        <v>168</v>
      </c>
    </row>
    <row r="125" spans="1:3" x14ac:dyDescent="0.25">
      <c r="A125" s="110" t="s">
        <v>310</v>
      </c>
      <c r="B125" s="110"/>
      <c r="C125" s="137" t="s">
        <v>168</v>
      </c>
    </row>
    <row r="126" spans="1:3" x14ac:dyDescent="0.25">
      <c r="A126" s="22" t="s">
        <v>311</v>
      </c>
      <c r="B126" s="22"/>
      <c r="C126">
        <v>20</v>
      </c>
    </row>
    <row r="127" spans="1:3" x14ac:dyDescent="0.25">
      <c r="A127" s="22" t="s">
        <v>312</v>
      </c>
      <c r="B127" s="22"/>
      <c r="C127">
        <v>15</v>
      </c>
    </row>
    <row r="128" spans="1:3" x14ac:dyDescent="0.25">
      <c r="A128" s="22" t="s">
        <v>313</v>
      </c>
      <c r="B128" s="22"/>
      <c r="C128">
        <v>13</v>
      </c>
    </row>
    <row r="129" spans="1:3" x14ac:dyDescent="0.25">
      <c r="A129" s="110" t="s">
        <v>314</v>
      </c>
      <c r="B129" s="110"/>
      <c r="C129" s="112">
        <v>10</v>
      </c>
    </row>
    <row r="130" spans="1:3" x14ac:dyDescent="0.25">
      <c r="A130" s="22" t="s">
        <v>315</v>
      </c>
      <c r="B130" s="22"/>
      <c r="C130">
        <v>23</v>
      </c>
    </row>
    <row r="131" spans="1:3" x14ac:dyDescent="0.25">
      <c r="A131" s="22" t="s">
        <v>316</v>
      </c>
      <c r="B131" s="22"/>
      <c r="C131">
        <v>19</v>
      </c>
    </row>
    <row r="132" spans="1:3" x14ac:dyDescent="0.25">
      <c r="A132" s="22" t="s">
        <v>317</v>
      </c>
      <c r="B132" s="22"/>
      <c r="C132">
        <v>17</v>
      </c>
    </row>
    <row r="133" spans="1:3" x14ac:dyDescent="0.25">
      <c r="A133" s="110" t="s">
        <v>318</v>
      </c>
      <c r="B133" s="110"/>
      <c r="C133" s="112">
        <v>14</v>
      </c>
    </row>
    <row r="134" spans="1:3" x14ac:dyDescent="0.25">
      <c r="A134" s="22" t="s">
        <v>319</v>
      </c>
      <c r="B134" s="22"/>
      <c r="C134">
        <v>27.6</v>
      </c>
    </row>
    <row r="135" spans="1:3" x14ac:dyDescent="0.25">
      <c r="A135" s="22" t="s">
        <v>320</v>
      </c>
      <c r="B135" s="22"/>
      <c r="C135">
        <v>20.399999999999999</v>
      </c>
    </row>
    <row r="136" spans="1:3" x14ac:dyDescent="0.25">
      <c r="A136" s="123" t="s">
        <v>321</v>
      </c>
      <c r="B136" s="123"/>
      <c r="C136" s="3">
        <v>16.8</v>
      </c>
    </row>
    <row r="137" spans="1:3" x14ac:dyDescent="0.25">
      <c r="A137" s="110" t="s">
        <v>322</v>
      </c>
      <c r="B137" s="110"/>
      <c r="C137" s="112">
        <v>13.2</v>
      </c>
    </row>
    <row r="138" spans="1:3" x14ac:dyDescent="0.25">
      <c r="A138" s="22" t="s">
        <v>323</v>
      </c>
      <c r="B138" s="22"/>
      <c r="C138">
        <v>33.6</v>
      </c>
    </row>
    <row r="139" spans="1:3" x14ac:dyDescent="0.25">
      <c r="A139" s="22" t="s">
        <v>324</v>
      </c>
      <c r="B139" s="22"/>
      <c r="C139">
        <v>26.4</v>
      </c>
    </row>
    <row r="140" spans="1:3" x14ac:dyDescent="0.25">
      <c r="A140" s="22" t="s">
        <v>325</v>
      </c>
      <c r="B140" s="22"/>
      <c r="C140">
        <v>24</v>
      </c>
    </row>
    <row r="141" spans="1:3" x14ac:dyDescent="0.25">
      <c r="A141" s="110" t="s">
        <v>326</v>
      </c>
      <c r="B141" s="110"/>
      <c r="C141" s="112">
        <v>19.2</v>
      </c>
    </row>
    <row r="142" spans="1:3" x14ac:dyDescent="0.25">
      <c r="A142" s="22" t="s">
        <v>327</v>
      </c>
      <c r="B142" s="123"/>
      <c r="C142" s="136" t="s">
        <v>168</v>
      </c>
    </row>
    <row r="143" spans="1:3" x14ac:dyDescent="0.25">
      <c r="A143" s="22" t="s">
        <v>328</v>
      </c>
      <c r="B143" s="123"/>
      <c r="C143" s="136" t="s">
        <v>168</v>
      </c>
    </row>
    <row r="144" spans="1:3" x14ac:dyDescent="0.25">
      <c r="A144" s="22" t="s">
        <v>329</v>
      </c>
      <c r="B144" s="123"/>
      <c r="C144" s="136" t="s">
        <v>168</v>
      </c>
    </row>
    <row r="145" spans="1:3" x14ac:dyDescent="0.25">
      <c r="A145" s="110" t="s">
        <v>330</v>
      </c>
      <c r="B145" s="110"/>
      <c r="C145" s="137" t="s">
        <v>168</v>
      </c>
    </row>
    <row r="146" spans="1:3" x14ac:dyDescent="0.25">
      <c r="A146" s="22" t="s">
        <v>331</v>
      </c>
      <c r="B146" s="22"/>
      <c r="C146">
        <v>22</v>
      </c>
    </row>
    <row r="147" spans="1:3" x14ac:dyDescent="0.25">
      <c r="A147" s="22" t="s">
        <v>332</v>
      </c>
      <c r="B147" s="22"/>
      <c r="C147">
        <v>18</v>
      </c>
    </row>
    <row r="148" spans="1:3" x14ac:dyDescent="0.25">
      <c r="A148" s="22" t="s">
        <v>334</v>
      </c>
      <c r="B148" s="22"/>
      <c r="C148">
        <v>16</v>
      </c>
    </row>
    <row r="149" spans="1:3" x14ac:dyDescent="0.25">
      <c r="A149" s="110" t="s">
        <v>333</v>
      </c>
      <c r="B149" s="110"/>
      <c r="C149" s="112">
        <v>13</v>
      </c>
    </row>
    <row r="150" spans="1:3" x14ac:dyDescent="0.25">
      <c r="A150" s="22" t="s">
        <v>335</v>
      </c>
      <c r="B150" s="22"/>
      <c r="C150" s="136" t="s">
        <v>168</v>
      </c>
    </row>
    <row r="151" spans="1:3" x14ac:dyDescent="0.25">
      <c r="A151" s="22" t="s">
        <v>336</v>
      </c>
      <c r="B151" s="22"/>
      <c r="C151" s="136" t="s">
        <v>168</v>
      </c>
    </row>
    <row r="152" spans="1:3" x14ac:dyDescent="0.25">
      <c r="A152" s="22" t="s">
        <v>337</v>
      </c>
      <c r="B152" s="22"/>
      <c r="C152" s="136" t="s">
        <v>168</v>
      </c>
    </row>
    <row r="153" spans="1:3" x14ac:dyDescent="0.25">
      <c r="A153" s="110" t="s">
        <v>338</v>
      </c>
      <c r="B153" s="110"/>
      <c r="C153" s="137" t="s">
        <v>168</v>
      </c>
    </row>
    <row r="154" spans="1:3" x14ac:dyDescent="0.25">
      <c r="A154" s="22" t="s">
        <v>339</v>
      </c>
      <c r="B154" s="22"/>
      <c r="C154" s="136" t="s">
        <v>168</v>
      </c>
    </row>
    <row r="155" spans="1:3" x14ac:dyDescent="0.25">
      <c r="A155" s="22" t="s">
        <v>340</v>
      </c>
      <c r="B155" s="22"/>
      <c r="C155" s="136" t="s">
        <v>168</v>
      </c>
    </row>
    <row r="156" spans="1:3" x14ac:dyDescent="0.25">
      <c r="A156" s="22" t="s">
        <v>341</v>
      </c>
      <c r="B156" s="22"/>
      <c r="C156" s="136" t="s">
        <v>168</v>
      </c>
    </row>
    <row r="157" spans="1:3" x14ac:dyDescent="0.25">
      <c r="A157" s="101" t="s">
        <v>342</v>
      </c>
      <c r="B157" s="101"/>
      <c r="C157" s="147" t="s">
        <v>168</v>
      </c>
    </row>
  </sheetData>
  <sheetProtection algorithmName="SHA-512" hashValue="UydWqu+Z4eccze9vOdtqg+fVw1WLkc45rDKYYNFv4Qjt/yyZxFUvkNN+M4XcZFVvp4uAL0aI5TTDxHG3Dr3WPA==" saltValue="nkQ9Bthuhc4viqETrcz3nw==" spinCount="100000" sheet="1" objects="1" scenarios="1" selectLockedCells="1" selectUnlockedCells="1"/>
  <pageMargins left="0.7" right="0.7" top="0.75" bottom="0.75" header="0.3" footer="0.3"/>
  <pageSetup orientation="portrait" horizontalDpi="4294967293" verticalDpi="4294967293" r:id="rId1"/>
  <tableParts count="9">
    <tablePart r:id="rId2"/>
    <tablePart r:id="rId3"/>
    <tablePart r:id="rId4"/>
    <tablePart r:id="rId5"/>
    <tablePart r:id="rId6"/>
    <tablePart r:id="rId7"/>
    <tablePart r:id="rId8"/>
    <tablePart r:id="rId9"/>
    <tablePart r:id="rId10"/>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PersistId xmlns="c1ff3ef2-2835-4790-bc76-21553e2e2b97" xsi:nil="true"/>
    <_dlc_DocId xmlns="c1ff3ef2-2835-4790-bc76-21553e2e2b97">APACS-515413851-21690</_dlc_DocId>
    <_dlc_DocIdUrl xmlns="c1ff3ef2-2835-4790-bc76-21553e2e2b97">
      <Url>https://connect.apawood.org/common/share/_layouts/15/DocIdRedir.aspx?ID=APACS-515413851-21690</Url>
      <Description>APACS-515413851-21690</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26EAEB38FA11449A9FFEF908534BB76" ma:contentTypeVersion="5" ma:contentTypeDescription="Create a new document." ma:contentTypeScope="" ma:versionID="2207b1fb097b0a118b84ea2284343b82">
  <xsd:schema xmlns:xsd="http://www.w3.org/2001/XMLSchema" xmlns:xs="http://www.w3.org/2001/XMLSchema" xmlns:p="http://schemas.microsoft.com/office/2006/metadata/properties" xmlns:ns2="c1ff3ef2-2835-4790-bc76-21553e2e2b97" targetNamespace="http://schemas.microsoft.com/office/2006/metadata/properties" ma:root="true" ma:fieldsID="9dc7e58ba3643c291e192abdc4409a3b" ns2:_="">
    <xsd:import namespace="c1ff3ef2-2835-4790-bc76-21553e2e2b97"/>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ff3ef2-2835-4790-bc76-21553e2e2b97" elementFormDefault="qualified">
    <xsd:import namespace="http://schemas.microsoft.com/office/2006/documentManagement/types"/>
    <xsd:import namespace="http://schemas.microsoft.com/office/infopath/2007/PartnerControls"/>
    <xsd:element name="_dlc_DocId" ma:index="4" nillable="true" ma:displayName="Document ID Value" ma:description="The value of the document ID assigned to this item." ma:internalName="_dlc_DocId" ma:readOnly="true">
      <xsd:simpleType>
        <xsd:restriction base="dms:Text"/>
      </xsd:simpleType>
    </xsd:element>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fals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40A5024-9C9C-4A7A-80A8-C5814D396195}">
  <ds:schemaRefs>
    <ds:schemaRef ds:uri="http://schemas.microsoft.com/sharepoint/v3/contenttype/forms"/>
  </ds:schemaRefs>
</ds:datastoreItem>
</file>

<file path=customXml/itemProps2.xml><?xml version="1.0" encoding="utf-8"?>
<ds:datastoreItem xmlns:ds="http://schemas.openxmlformats.org/officeDocument/2006/customXml" ds:itemID="{8E056191-1B3E-40C6-BB91-147FA1C93EFA}">
  <ds:schemaRefs>
    <ds:schemaRef ds:uri="http://purl.org/dc/elements/1.1/"/>
    <ds:schemaRef ds:uri="http://schemas.microsoft.com/office/2006/documentManagement/types"/>
    <ds:schemaRef ds:uri="c1ff3ef2-2835-4790-bc76-21553e2e2b97"/>
    <ds:schemaRef ds:uri="http://schemas.microsoft.com/office/infopath/2007/PartnerControls"/>
    <ds:schemaRef ds:uri="http://schemas.openxmlformats.org/package/2006/metadata/core-properties"/>
    <ds:schemaRef ds:uri="http://purl.org/dc/dcmitype/"/>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FC0D848A-C8C8-4451-8DC8-BDF5EE6FDB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ff3ef2-2835-4790-bc76-21553e2e2b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5B37455-A823-4296-A14B-E909FD71073D}">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Instructions &amp; Definitions</vt:lpstr>
      <vt:lpstr>Design Example (APA T555)</vt:lpstr>
      <vt:lpstr>One Opening</vt:lpstr>
      <vt:lpstr>Two Openings</vt:lpstr>
      <vt:lpstr>Three Openings</vt:lpstr>
      <vt:lpstr>LookUp</vt:lpstr>
      <vt:lpstr>'Design Example (APA T555)'!Print_Area</vt:lpstr>
      <vt:lpstr>'Instructions &amp; Definitions'!Print_Area</vt:lpstr>
      <vt:lpstr>'One Opening'!Print_Area</vt:lpstr>
      <vt:lpstr>'Three Openings'!Print_Area</vt:lpstr>
      <vt:lpstr>'Two Openings'!Print_Area</vt:lpstr>
      <vt:lpstr>'Design Example (APA T555)'!Print_Titles</vt:lpstr>
      <vt:lpstr>'One Opening'!Print_Titles</vt:lpstr>
      <vt:lpstr>'Three Openings'!Print_Titles</vt:lpstr>
      <vt:lpstr>'Two Openings'!Print_Titles</vt:lpstr>
    </vt:vector>
  </TitlesOfParts>
  <Company>APA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FTAO Team</dc:creator>
  <cp:lastModifiedBy>Dana Ohler</cp:lastModifiedBy>
  <cp:lastPrinted>2018-09-25T04:10:21Z</cp:lastPrinted>
  <dcterms:created xsi:type="dcterms:W3CDTF">2015-03-03T18:34:05Z</dcterms:created>
  <dcterms:modified xsi:type="dcterms:W3CDTF">2018-10-02T22:49:09Z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0x010100826EAEB38FA11449A9FFEF908534BB76</vt:lpwstr>
  </property>
  <property fmtid="{D5CDD505-2E9C-101B-9397-08002B2CF9AE}" pid="3" name="_dlc_DocIdItemGuid">
    <vt:lpwstr>6f98ca62-81b3-44db-9b3f-07850ab23beb</vt:lpwstr>
  </property>
</Properties>
</file>