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7400" windowHeight="10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Sheet1!$A$1:$I$87</definedName>
  </definedNames>
  <calcPr calcId="124519"/>
</workbook>
</file>

<file path=xl/calcChain.xml><?xml version="1.0" encoding="utf-8"?>
<calcChain xmlns="http://schemas.openxmlformats.org/spreadsheetml/2006/main">
  <c r="H65" i="1"/>
  <c r="F50"/>
  <c r="B24"/>
  <c r="F77"/>
  <c r="H75"/>
  <c r="B41"/>
  <c r="F72" s="1"/>
  <c r="F68"/>
  <c r="F69" s="1"/>
  <c r="F60"/>
  <c r="F61" s="1"/>
  <c r="G15"/>
  <c r="G16"/>
  <c r="G18"/>
  <c r="G19"/>
  <c r="G20"/>
  <c r="G21"/>
  <c r="F54"/>
  <c r="F48" l="1"/>
  <c r="F80"/>
  <c r="F78"/>
  <c r="F76"/>
  <c r="F52"/>
  <c r="F49"/>
  <c r="F44"/>
  <c r="I21"/>
  <c r="I20"/>
  <c r="I19"/>
  <c r="I18"/>
  <c r="J3"/>
  <c r="I17" s="1"/>
  <c r="J1"/>
  <c r="G17" s="1"/>
  <c r="I16"/>
  <c r="I15"/>
  <c r="F83" l="1"/>
  <c r="F55"/>
  <c r="F56" l="1"/>
  <c r="F87" s="1"/>
</calcChain>
</file>

<file path=xl/sharedStrings.xml><?xml version="1.0" encoding="utf-8"?>
<sst xmlns="http://schemas.openxmlformats.org/spreadsheetml/2006/main" count="141" uniqueCount="103">
  <si>
    <t>Calculations are performed in accordance with ACI 318-08, App.D</t>
  </si>
  <si>
    <r>
      <t>F</t>
    </r>
    <r>
      <rPr>
        <sz val="10"/>
        <color theme="1"/>
        <rFont val="Calibri"/>
        <family val="2"/>
        <scheme val="minor"/>
      </rPr>
      <t xml:space="preserve">c' = </t>
    </r>
  </si>
  <si>
    <r>
      <t>d</t>
    </r>
    <r>
      <rPr>
        <sz val="10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</si>
  <si>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10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</si>
  <si>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10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</si>
  <si>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10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=</t>
    </r>
  </si>
  <si>
    <t>Required Strength</t>
  </si>
  <si>
    <t>Per ACI 318-08, Section 9.2</t>
  </si>
  <si>
    <r>
      <t>D</t>
    </r>
    <r>
      <rPr>
        <sz val="8"/>
        <color theme="1"/>
        <rFont val="Calibri"/>
        <family val="2"/>
        <scheme val="minor"/>
      </rPr>
      <t xml:space="preserve">v </t>
    </r>
    <r>
      <rPr>
        <sz val="11"/>
        <color theme="1"/>
        <rFont val="Calibri"/>
        <family val="2"/>
        <scheme val="minor"/>
      </rPr>
      <t>=</t>
    </r>
  </si>
  <si>
    <r>
      <t>D</t>
    </r>
    <r>
      <rPr>
        <sz val="8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</t>
    </r>
  </si>
  <si>
    <r>
      <t>L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</si>
  <si>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</si>
  <si>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</si>
  <si>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</si>
  <si>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</si>
  <si>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8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</t>
    </r>
  </si>
  <si>
    <r>
      <t>W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</si>
  <si>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</si>
  <si>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r,v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</si>
  <si>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r,h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</si>
  <si>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</si>
  <si>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</si>
  <si>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</si>
  <si>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</si>
  <si>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E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</si>
  <si>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</si>
  <si>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t>[9-1]   U = 1.4(D+F)</t>
  </si>
  <si>
    <r>
      <t>[9-2]   U = 1.2(D + F + T) + 1.6( L + H ) + 0.5 (L</t>
    </r>
    <r>
      <rPr>
        <sz val="8"/>
        <color theme="1"/>
        <rFont val="Calibri"/>
        <family val="2"/>
        <scheme val="minor"/>
      </rPr>
      <t xml:space="preserve">r </t>
    </r>
    <r>
      <rPr>
        <sz val="11"/>
        <color theme="1"/>
        <rFont val="Calibri"/>
        <family val="2"/>
        <scheme val="minor"/>
      </rPr>
      <t>or S or R)</t>
    </r>
  </si>
  <si>
    <r>
      <t>[9-3]   U = 1.2D + 1.6(L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 + (1.0L or 0.8W)</t>
    </r>
  </si>
  <si>
    <r>
      <t>[9-4]   U = 1.2D + 1.6W + 1.0L + 0.5(L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</si>
  <si>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t>[9-5]   U = 1.2D + 1.0E + 1.0L + 0.2S</t>
  </si>
  <si>
    <t>[9-6]   U = 0.9D + 1.6W + 1.6H</t>
  </si>
  <si>
    <t>[9-7]   U = 0.9D + 1.0E + 1.6H</t>
  </si>
  <si>
    <r>
      <rPr>
        <sz val="11"/>
        <color theme="1"/>
        <rFont val="Calibri"/>
        <family val="2"/>
        <scheme val="minor"/>
      </rPr>
      <t>U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</t>
    </r>
  </si>
  <si>
    <r>
      <t>U</t>
    </r>
    <r>
      <rPr>
        <sz val="8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=</t>
    </r>
  </si>
  <si>
    <r>
      <t>T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</si>
  <si>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</si>
  <si>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U</t>
    </r>
    <r>
      <rPr>
        <sz val="8"/>
        <color theme="1"/>
        <rFont val="Calibri"/>
        <family val="2"/>
        <scheme val="minor"/>
      </rPr>
      <t>v,max</t>
    </r>
    <r>
      <rPr>
        <sz val="11"/>
        <color theme="1"/>
        <rFont val="Calibri"/>
        <family val="2"/>
        <scheme val="minor"/>
      </rPr>
      <t xml:space="preserve"> = </t>
    </r>
  </si>
  <si>
    <r>
      <t>U</t>
    </r>
    <r>
      <rPr>
        <sz val="8"/>
        <color theme="1"/>
        <rFont val="Calibri"/>
        <family val="2"/>
        <scheme val="minor"/>
      </rPr>
      <t>h,max</t>
    </r>
    <r>
      <rPr>
        <sz val="11"/>
        <color theme="1"/>
        <rFont val="Calibri"/>
        <family val="2"/>
        <scheme val="minor"/>
      </rPr>
      <t xml:space="preserve"> = </t>
    </r>
  </si>
  <si>
    <t>Design Strength</t>
  </si>
  <si>
    <t>in.</t>
  </si>
  <si>
    <t>in.2</t>
  </si>
  <si>
    <t>Per ACI 318-08, Appendix D, Section D.4</t>
  </si>
  <si>
    <t>Steel Str. Of Anchor Bolt in Tension [D.5.1]</t>
  </si>
  <si>
    <t>n =</t>
  </si>
  <si>
    <t>kips</t>
  </si>
  <si>
    <t>Concrete Breakout Strength of Anchor Bolt in Tension [D.5.2]</t>
  </si>
  <si>
    <t>psi</t>
  </si>
  <si>
    <t>lbs</t>
  </si>
  <si>
    <r>
      <t>A</t>
    </r>
    <r>
      <rPr>
        <sz val="8"/>
        <color theme="1"/>
        <rFont val="Calibri"/>
        <family val="2"/>
        <scheme val="minor"/>
      </rPr>
      <t xml:space="preserve">nco </t>
    </r>
    <r>
      <rPr>
        <sz val="11"/>
        <color theme="1"/>
        <rFont val="Calibri"/>
        <family val="2"/>
        <scheme val="minor"/>
      </rPr>
      <t>=  9*h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^2 =</t>
    </r>
  </si>
  <si>
    <r>
      <t>Ψ</t>
    </r>
    <r>
      <rPr>
        <sz val="8"/>
        <color theme="1"/>
        <rFont val="Calibri"/>
        <family val="2"/>
        <scheme val="minor"/>
      </rPr>
      <t xml:space="preserve">ed,N </t>
    </r>
    <r>
      <rPr>
        <sz val="11"/>
        <color theme="1"/>
        <rFont val="Calibri"/>
        <family val="2"/>
        <scheme val="minor"/>
      </rPr>
      <t>= (0.7+0.3*(C</t>
    </r>
    <r>
      <rPr>
        <sz val="8"/>
        <color theme="1"/>
        <rFont val="Calibri"/>
        <family val="2"/>
        <scheme val="minor"/>
      </rPr>
      <t>a,min</t>
    </r>
    <r>
      <rPr>
        <sz val="11"/>
        <color theme="1"/>
        <rFont val="Calibri"/>
        <family val="2"/>
        <scheme val="minor"/>
      </rPr>
      <t>/(1.5*h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 xml:space="preserve">) = </t>
    </r>
  </si>
  <si>
    <t>[D.5.2.5] Eqn (D-11)</t>
  </si>
  <si>
    <r>
      <t>Ψ</t>
    </r>
    <r>
      <rPr>
        <sz val="8"/>
        <color theme="1"/>
        <rFont val="Calibri"/>
        <family val="2"/>
        <scheme val="minor"/>
      </rPr>
      <t xml:space="preserve">ec,N </t>
    </r>
    <r>
      <rPr>
        <sz val="11"/>
        <color theme="1"/>
        <rFont val="Calibri"/>
        <family val="2"/>
        <scheme val="minor"/>
      </rPr>
      <t xml:space="preserve">= </t>
    </r>
  </si>
  <si>
    <r>
      <t>Ψ</t>
    </r>
    <r>
      <rPr>
        <sz val="8"/>
        <color theme="1"/>
        <rFont val="Calibri"/>
        <family val="2"/>
        <scheme val="minor"/>
      </rPr>
      <t>c,N</t>
    </r>
    <r>
      <rPr>
        <sz val="11"/>
        <color theme="1"/>
        <rFont val="Calibri"/>
        <family val="2"/>
        <scheme val="minor"/>
      </rPr>
      <t xml:space="preserve"> = </t>
    </r>
  </si>
  <si>
    <r>
      <t>Ψ</t>
    </r>
    <r>
      <rPr>
        <sz val="8"/>
        <color theme="1"/>
        <rFont val="Calibri"/>
        <family val="2"/>
        <scheme val="minor"/>
      </rPr>
      <t>cp,N</t>
    </r>
    <r>
      <rPr>
        <sz val="11"/>
        <color theme="1"/>
        <rFont val="Calibri"/>
        <family val="2"/>
        <scheme val="minor"/>
      </rPr>
      <t xml:space="preserve"> = </t>
    </r>
  </si>
  <si>
    <r>
      <t>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</si>
  <si>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S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</si>
  <si>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sz val="8"/>
        <color theme="1"/>
        <rFont val="Calibri"/>
        <family val="2"/>
        <scheme val="minor"/>
      </rPr>
      <t xml:space="preserve">a1 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</si>
  <si>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sz val="8"/>
        <color theme="1"/>
        <rFont val="Calibri"/>
        <family val="2"/>
        <scheme val="minor"/>
      </rPr>
      <t xml:space="preserve">a2 </t>
    </r>
    <r>
      <rPr>
        <sz val="11"/>
        <color theme="1"/>
        <rFont val="Calibri"/>
        <family val="2"/>
        <scheme val="minor"/>
      </rPr>
      <t>=</t>
    </r>
  </si>
  <si>
    <r>
      <t>N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 (A</t>
    </r>
    <r>
      <rPr>
        <sz val="8"/>
        <color theme="1"/>
        <rFont val="Calibri"/>
        <family val="2"/>
        <scheme val="minor"/>
      </rPr>
      <t>nc</t>
    </r>
    <r>
      <rPr>
        <sz val="11"/>
        <color theme="1"/>
        <rFont val="Calibri"/>
        <family val="2"/>
        <scheme val="minor"/>
      </rPr>
      <t>/A</t>
    </r>
    <r>
      <rPr>
        <sz val="8"/>
        <color theme="1"/>
        <rFont val="Calibri"/>
        <family val="2"/>
        <scheme val="minor"/>
      </rPr>
      <t>nco</t>
    </r>
    <r>
      <rPr>
        <sz val="11"/>
        <color theme="1"/>
        <rFont val="Calibri"/>
        <family val="2"/>
        <scheme val="minor"/>
      </rPr>
      <t>)*Ψec,N*Ψed,N*Ψc,N*Ψcp,N*Nb =</t>
    </r>
  </si>
  <si>
    <r>
      <t>Φ*N</t>
    </r>
    <r>
      <rPr>
        <sz val="8"/>
        <color theme="1"/>
        <rFont val="Calibri"/>
        <family val="2"/>
      </rPr>
      <t xml:space="preserve">cbg </t>
    </r>
    <r>
      <rPr>
        <sz val="11"/>
        <color theme="1"/>
        <rFont val="Calibri"/>
        <family val="2"/>
      </rPr>
      <t>= 0.65*N</t>
    </r>
    <r>
      <rPr>
        <sz val="8"/>
        <color theme="1"/>
        <rFont val="Calibri"/>
        <family val="2"/>
      </rPr>
      <t>cbg</t>
    </r>
    <r>
      <rPr>
        <sz val="11"/>
        <color theme="1"/>
        <rFont val="Calibri"/>
        <family val="2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</si>
  <si>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= n*f</t>
    </r>
    <r>
      <rPr>
        <sz val="8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*A</t>
    </r>
    <r>
      <rPr>
        <sz val="8"/>
        <color theme="1"/>
        <rFont val="Calibri"/>
        <family val="2"/>
        <scheme val="minor"/>
      </rPr>
      <t>se</t>
    </r>
  </si>
  <si>
    <t>Pullout Strength of Anchor Bolt in tension [D.5.3]</t>
  </si>
  <si>
    <t>Mfr. Testing in accordance with ICC-ES AC308</t>
  </si>
  <si>
    <t>in.^2</t>
  </si>
  <si>
    <t>Concrete side-face blowout strength of a headed anchor in tension [D.5.4]</t>
  </si>
  <si>
    <t>Steel Strength of anchor in Shear [D.6.1]</t>
  </si>
  <si>
    <r>
      <t>Φ</t>
    </r>
    <r>
      <rPr>
        <sz val="11"/>
        <color theme="1"/>
        <rFont val="Calibri"/>
        <family val="2"/>
      </rPr>
      <t xml:space="preserve"> =</t>
    </r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</si>
  <si>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V</t>
    </r>
    <r>
      <rPr>
        <sz val="8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= Φ*n*A</t>
    </r>
    <r>
      <rPr>
        <sz val="8"/>
        <color theme="1"/>
        <rFont val="Calibri"/>
        <family val="2"/>
        <scheme val="minor"/>
      </rPr>
      <t>se,V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uta</t>
    </r>
  </si>
  <si>
    <t>Concrete Strength of Anchor Bolt in Shear [D.6.2]</t>
  </si>
  <si>
    <r>
      <t>V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(7*(L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/d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)^0.2*</t>
    </r>
    <r>
      <rPr>
        <sz val="11"/>
        <color theme="1"/>
        <rFont val="Calibri"/>
        <family val="2"/>
      </rPr>
      <t>√(d</t>
    </r>
    <r>
      <rPr>
        <sz val="8"/>
        <color theme="1"/>
        <rFont val="Calibri"/>
        <family val="2"/>
      </rPr>
      <t>a</t>
    </r>
    <r>
      <rPr>
        <sz val="11"/>
        <color theme="1"/>
        <rFont val="Calibri"/>
        <family val="2"/>
      </rPr>
      <t>))*λ*√(F</t>
    </r>
    <r>
      <rPr>
        <sz val="8"/>
        <color theme="1"/>
        <rFont val="Calibri"/>
        <family val="2"/>
      </rPr>
      <t>c'</t>
    </r>
    <r>
      <rPr>
        <sz val="11"/>
        <color theme="1"/>
        <rFont val="Calibri"/>
        <family val="2"/>
      </rPr>
      <t>)*(C</t>
    </r>
    <r>
      <rPr>
        <sz val="8"/>
        <color theme="1"/>
        <rFont val="Calibri"/>
        <family val="2"/>
      </rPr>
      <t>a1</t>
    </r>
    <r>
      <rPr>
        <sz val="11"/>
        <color theme="1"/>
        <rFont val="Calibri"/>
        <family val="2"/>
      </rPr>
      <t>)^1.5 =</t>
    </r>
  </si>
  <si>
    <r>
      <t>L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</t>
    </r>
  </si>
  <si>
    <t>ha =</t>
  </si>
  <si>
    <r>
      <t>A</t>
    </r>
    <r>
      <rPr>
        <sz val="8"/>
        <color theme="1"/>
        <rFont val="Calibri"/>
        <family val="2"/>
        <scheme val="minor"/>
      </rPr>
      <t>vc</t>
    </r>
    <r>
      <rPr>
        <sz val="11"/>
        <color theme="1"/>
        <rFont val="Calibri"/>
        <family val="2"/>
        <scheme val="minor"/>
      </rPr>
      <t xml:space="preserve"> = (2*(1.5*C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)+s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)*h</t>
    </r>
    <r>
      <rPr>
        <sz val="8"/>
        <color theme="1"/>
        <rFont val="Calibri"/>
        <family val="2"/>
        <scheme val="minor"/>
      </rPr>
      <t>a =</t>
    </r>
  </si>
  <si>
    <r>
      <t>A</t>
    </r>
    <r>
      <rPr>
        <sz val="8"/>
        <color theme="1"/>
        <rFont val="Calibri"/>
        <family val="2"/>
        <scheme val="minor"/>
      </rPr>
      <t>vco</t>
    </r>
    <r>
      <rPr>
        <sz val="11"/>
        <color theme="1"/>
        <rFont val="Calibri"/>
        <family val="2"/>
        <scheme val="minor"/>
      </rPr>
      <t xml:space="preserve"> = (2*(1.5*C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))*(1.5*C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 =</t>
    </r>
  </si>
  <si>
    <r>
      <t>Ψ</t>
    </r>
    <r>
      <rPr>
        <sz val="8"/>
        <color theme="1"/>
        <rFont val="Calibri"/>
        <family val="2"/>
        <scheme val="minor"/>
      </rPr>
      <t>ec,</t>
    </r>
    <r>
      <rPr>
        <sz val="11"/>
        <color theme="1"/>
        <rFont val="Calibri"/>
        <family val="2"/>
        <scheme val="minor"/>
      </rPr>
      <t xml:space="preserve">V = </t>
    </r>
  </si>
  <si>
    <r>
      <t>Ψ</t>
    </r>
    <r>
      <rPr>
        <sz val="8"/>
        <color theme="1"/>
        <rFont val="Calibri"/>
        <family val="2"/>
        <scheme val="minor"/>
      </rPr>
      <t xml:space="preserve">ed,V </t>
    </r>
    <r>
      <rPr>
        <sz val="11"/>
        <color theme="1"/>
        <rFont val="Calibri"/>
        <family val="2"/>
        <scheme val="minor"/>
      </rPr>
      <t>= (0.7+0.3*(C</t>
    </r>
    <r>
      <rPr>
        <sz val="8"/>
        <color theme="1"/>
        <rFont val="Calibri"/>
        <family val="2"/>
        <scheme val="minor"/>
      </rPr>
      <t>a2</t>
    </r>
    <r>
      <rPr>
        <sz val="11"/>
        <color theme="1"/>
        <rFont val="Calibri"/>
        <family val="2"/>
        <scheme val="minor"/>
      </rPr>
      <t>/(1.5*C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) = </t>
    </r>
  </si>
  <si>
    <t>[D.6.2.6] Eqn (D-28)</t>
  </si>
  <si>
    <r>
      <t>Ψ</t>
    </r>
    <r>
      <rPr>
        <sz val="8"/>
        <color theme="1"/>
        <rFont val="Calibri"/>
        <family val="2"/>
        <scheme val="minor"/>
      </rPr>
      <t>c,V</t>
    </r>
    <r>
      <rPr>
        <sz val="11"/>
        <color theme="1"/>
        <rFont val="Calibri"/>
        <family val="2"/>
        <scheme val="minor"/>
      </rPr>
      <t xml:space="preserve"> = </t>
    </r>
  </si>
  <si>
    <r>
      <t>Ψ</t>
    </r>
    <r>
      <rPr>
        <sz val="8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 xml:space="preserve"> = </t>
    </r>
  </si>
  <si>
    <r>
      <t>V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 (A</t>
    </r>
    <r>
      <rPr>
        <sz val="8"/>
        <color theme="1"/>
        <rFont val="Calibri"/>
        <family val="2"/>
        <scheme val="minor"/>
      </rPr>
      <t>vc</t>
    </r>
    <r>
      <rPr>
        <sz val="11"/>
        <color theme="1"/>
        <rFont val="Calibri"/>
        <family val="2"/>
        <scheme val="minor"/>
      </rPr>
      <t>/A</t>
    </r>
    <r>
      <rPr>
        <sz val="8"/>
        <color theme="1"/>
        <rFont val="Calibri"/>
        <family val="2"/>
        <scheme val="minor"/>
      </rPr>
      <t>vco</t>
    </r>
    <r>
      <rPr>
        <sz val="11"/>
        <color theme="1"/>
        <rFont val="Calibri"/>
        <family val="2"/>
        <scheme val="minor"/>
      </rPr>
      <t>)* Ψ</t>
    </r>
    <r>
      <rPr>
        <sz val="8"/>
        <color theme="1"/>
        <rFont val="Calibri"/>
        <family val="2"/>
        <scheme val="minor"/>
      </rPr>
      <t>ec,V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ed,V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c,V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>*V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</si>
  <si>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Concrete Pryout Strength of Anchor Bolt in Shear [D.6.3]</t>
  </si>
  <si>
    <r>
      <t>V</t>
    </r>
    <r>
      <rPr>
        <sz val="8"/>
        <color theme="1"/>
        <rFont val="Calibri"/>
        <family val="2"/>
        <scheme val="minor"/>
      </rPr>
      <t>cpg</t>
    </r>
    <r>
      <rPr>
        <sz val="11"/>
        <color theme="1"/>
        <rFont val="Calibri"/>
        <family val="2"/>
        <scheme val="minor"/>
      </rPr>
      <t xml:space="preserve"> = k</t>
    </r>
    <r>
      <rPr>
        <sz val="8"/>
        <color theme="1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>*N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</si>
  <si>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8"/>
        <color theme="1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 xml:space="preserve"> =</t>
    </r>
  </si>
  <si>
    <t>Date:</t>
  </si>
  <si>
    <t>Cast-In Anchor Bolt Capacity</t>
  </si>
  <si>
    <t>Job: PNK Casino, Casey Civil (Column CL S2 - Sidewall C)</t>
  </si>
  <si>
    <r>
      <t>Φ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</si>
  <si>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Φ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</si>
  <si>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</si>
  <si>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(cast-in)</t>
  </si>
  <si>
    <r>
      <t>N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k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λ*√(f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>')*h</t>
    </r>
    <r>
      <rPr>
        <sz val="8"/>
        <color theme="1"/>
        <rFont val="Calibri"/>
        <family val="2"/>
      </rPr>
      <t>ef</t>
    </r>
    <r>
      <rPr>
        <sz val="11"/>
        <color theme="1"/>
        <rFont val="Calibri"/>
        <family val="2"/>
      </rPr>
      <t>^1.5 =</t>
    </r>
  </si>
  <si>
    <r>
      <t>S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</si>
  <si>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pn</t>
    </r>
    <r>
      <rPr>
        <sz val="11"/>
        <color theme="1"/>
        <rFont val="Calibri"/>
        <family val="2"/>
        <scheme val="minor"/>
      </rPr>
      <t xml:space="preserve"> = </t>
    </r>
    <r>
      <rPr>
        <sz val="12"/>
        <color theme="1"/>
        <rFont val="Calibri"/>
        <family val="2"/>
      </rPr>
      <t>Ψ</t>
    </r>
    <r>
      <rPr>
        <sz val="8"/>
        <color theme="1"/>
        <rFont val="Calibri"/>
        <family val="2"/>
      </rPr>
      <t>c,P</t>
    </r>
    <r>
      <rPr>
        <sz val="12"/>
        <color theme="1"/>
        <rFont val="Calibri"/>
        <family val="2"/>
      </rPr>
      <t>*N</t>
    </r>
    <r>
      <rPr>
        <sz val="8"/>
        <color theme="1"/>
        <rFont val="Calibri"/>
        <family val="2"/>
      </rPr>
      <t>p</t>
    </r>
  </si>
  <si>
    <r>
      <t>N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8*f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'*e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*d</t>
    </r>
    <r>
      <rPr>
        <sz val="8"/>
        <color theme="1"/>
        <rFont val="Calibri"/>
        <family val="2"/>
        <scheme val="minor"/>
      </rPr>
      <t>a</t>
    </r>
  </si>
  <si>
    <r>
      <t>Ψ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,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</t>
    </r>
  </si>
  <si>
    <r>
      <t>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</si>
  <si>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8"/>
        <color theme="1"/>
        <rFont val="Calibri"/>
        <family val="2"/>
        <scheme val="minor"/>
      </rPr>
      <t>brg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</si>
  <si>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</si>
  <si>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sb</t>
    </r>
    <r>
      <rPr>
        <sz val="11"/>
        <color theme="1"/>
        <rFont val="Calibri"/>
        <family val="2"/>
        <scheme val="minor"/>
      </rPr>
      <t xml:space="preserve"> = (160*C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√A</t>
    </r>
    <r>
      <rPr>
        <sz val="8"/>
        <color theme="1"/>
        <rFont val="Calibri"/>
        <family val="2"/>
      </rPr>
      <t>brg</t>
    </r>
    <r>
      <rPr>
        <sz val="11"/>
        <color theme="1"/>
        <rFont val="Calibri"/>
        <family val="2"/>
      </rPr>
      <t>)*λ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√f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>' =</t>
    </r>
  </si>
  <si>
    <r>
      <t>N</t>
    </r>
    <r>
      <rPr>
        <sz val="8"/>
        <color theme="1"/>
        <rFont val="Calibri"/>
        <family val="2"/>
        <scheme val="minor"/>
      </rPr>
      <t xml:space="preserve">sbg </t>
    </r>
    <r>
      <rPr>
        <sz val="11"/>
        <color theme="1"/>
        <rFont val="Calibri"/>
        <family val="2"/>
        <scheme val="minor"/>
      </rPr>
      <t>= (1+(s/6*C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))*N</t>
    </r>
    <r>
      <rPr>
        <sz val="8"/>
        <color theme="1"/>
        <rFont val="Calibri"/>
        <family val="2"/>
        <scheme val="minor"/>
      </rPr>
      <t>sb =</t>
    </r>
  </si>
  <si>
    <r>
      <rPr>
        <sz val="11"/>
        <color theme="1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</si>
  <si>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8"/>
        <color theme="1"/>
        <rFont val="Calibri"/>
        <family val="2"/>
        <scheme val="minor"/>
      </rPr>
      <t xml:space="preserve">nc </t>
    </r>
    <r>
      <rPr>
        <sz val="11"/>
        <color theme="1"/>
        <rFont val="Calibri"/>
        <family val="2"/>
        <scheme val="minor"/>
      </rPr>
      <t>= (C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 + 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S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Ca2)*(2x(1.5*h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) + S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</si>
</sst>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14" fontId="0" fillId="0" borderId="0" xfId="0" applyNumberFormat="1"/>
    <xf numFmtId="0" fontId="0" fillId="0" borderId="1" xfId="0" applyBorder="1"/>
    <xf numFmtId="0" fontId="3" fillId="5" borderId="4" xfId="0" applyFont="1" applyFill="1" applyBorder="1" applyAlignment="1">
      <alignment horizontal="right"/>
    </xf>
    <xf numFmtId="0" fontId="0" fillId="8" borderId="4" xfId="0" applyFill="1" applyBorder="1" applyAlignment="1"/>
    <xf numFmtId="0" fontId="0" fillId="5" borderId="4" xfId="0" applyFill="1" applyBorder="1" applyAlignment="1">
      <alignment horizontal="right"/>
    </xf>
    <xf numFmtId="0" fontId="0" fillId="8" borderId="5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3" borderId="2" xfId="0" applyFill="1" applyBorder="1" applyAlignment="1"/>
    <xf numFmtId="0" fontId="0" fillId="0" borderId="2" xfId="0" applyBorder="1" applyAlignment="1"/>
    <xf numFmtId="0" fontId="0" fillId="6" borderId="5" xfId="0" applyFill="1" applyBorder="1"/>
    <xf numFmtId="0" fontId="0" fillId="0" borderId="3" xfId="0" applyBorder="1"/>
    <xf numFmtId="0" fontId="0" fillId="7" borderId="4" xfId="0" applyFill="1" applyBorder="1"/>
    <xf numFmtId="0" fontId="0" fillId="7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3" borderId="5" xfId="0" applyFill="1" applyBorder="1" applyAlignment="1"/>
    <xf numFmtId="164" fontId="0" fillId="8" borderId="5" xfId="0" applyNumberFormat="1" applyFill="1" applyBorder="1"/>
    <xf numFmtId="0" fontId="0" fillId="7" borderId="5" xfId="0" applyFill="1" applyBorder="1" applyAlignment="1">
      <alignment horizontal="right"/>
    </xf>
    <xf numFmtId="0" fontId="0" fillId="0" borderId="0" xfId="0" applyBorder="1"/>
    <xf numFmtId="0" fontId="4" fillId="3" borderId="3" xfId="0" applyFont="1" applyFill="1" applyBorder="1"/>
    <xf numFmtId="0" fontId="0" fillId="7" borderId="7" xfId="0" applyFill="1" applyBorder="1"/>
    <xf numFmtId="2" fontId="0" fillId="8" borderId="4" xfId="0" applyNumberFormat="1" applyFill="1" applyBorder="1"/>
    <xf numFmtId="0" fontId="0" fillId="6" borderId="6" xfId="0" applyFill="1" applyBorder="1"/>
    <xf numFmtId="0" fontId="0" fillId="8" borderId="8" xfId="0" applyFill="1" applyBorder="1"/>
    <xf numFmtId="0" fontId="0" fillId="0" borderId="5" xfId="0" applyBorder="1" applyAlignment="1"/>
    <xf numFmtId="0" fontId="0" fillId="4" borderId="5" xfId="0" applyFill="1" applyBorder="1"/>
    <xf numFmtId="0" fontId="0" fillId="4" borderId="9" xfId="0" applyFill="1" applyBorder="1"/>
    <xf numFmtId="0" fontId="0" fillId="0" borderId="4" xfId="0" applyBorder="1"/>
    <xf numFmtId="0" fontId="0" fillId="0" borderId="8" xfId="0" applyBorder="1"/>
    <xf numFmtId="0" fontId="0" fillId="6" borderId="3" xfId="0" applyFill="1" applyBorder="1" applyAlignment="1">
      <alignment horizontal="center"/>
    </xf>
    <xf numFmtId="0" fontId="4" fillId="7" borderId="10" xfId="0" applyFont="1" applyFill="1" applyBorder="1"/>
    <xf numFmtId="0" fontId="0" fillId="6" borderId="11" xfId="0" applyFill="1" applyBorder="1"/>
    <xf numFmtId="0" fontId="0" fillId="0" borderId="12" xfId="0" applyBorder="1"/>
    <xf numFmtId="2" fontId="0" fillId="6" borderId="5" xfId="0" applyNumberFormat="1" applyFill="1" applyBorder="1"/>
    <xf numFmtId="0" fontId="0" fillId="3" borderId="0" xfId="0" applyFill="1" applyBorder="1" applyAlignment="1"/>
    <xf numFmtId="0" fontId="0" fillId="3" borderId="0" xfId="0" applyFill="1" applyBorder="1"/>
    <xf numFmtId="0" fontId="4" fillId="0" borderId="0" xfId="0" applyFont="1" applyBorder="1"/>
    <xf numFmtId="0" fontId="0" fillId="7" borderId="10" xfId="0" applyFill="1" applyBorder="1"/>
    <xf numFmtId="0" fontId="0" fillId="0" borderId="13" xfId="0" applyBorder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25</xdr:row>
      <xdr:rowOff>47625</xdr:rowOff>
    </xdr:from>
    <xdr:to>
      <xdr:col>6</xdr:col>
      <xdr:colOff>267525</xdr:colOff>
      <xdr:row>35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1125" y="4876800"/>
          <a:ext cx="2544000" cy="1857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25" workbookViewId="0">
      <selection activeCell="B39" sqref="B39"/>
    </sheetView>
  </sheetViews>
  <sheetFormatPr defaultRowHeight="15"/>
  <cols>
    <col min="3" max="3" width="9.140625" customWidth="1"/>
    <col min="6" max="6" width="9.140625" customWidth="1"/>
    <col min="9" max="9" width="9.7109375" bestFit="1" customWidth="1"/>
  </cols>
  <sheetData>
    <row r="1" spans="1:10" ht="18.75">
      <c r="A1" s="45" t="s">
        <v>85</v>
      </c>
      <c r="B1" s="46"/>
      <c r="C1" s="46"/>
      <c r="D1" s="46"/>
      <c r="E1" s="46"/>
      <c r="F1" s="46"/>
      <c r="G1" s="46"/>
      <c r="H1" s="46"/>
      <c r="I1" s="46"/>
      <c r="J1">
        <f>0.8*D6</f>
        <v>0</v>
      </c>
    </row>
    <row r="2" spans="1:10">
      <c r="A2" t="s">
        <v>86</v>
      </c>
      <c r="H2" t="s">
        <v>84</v>
      </c>
      <c r="I2" s="3">
        <v>40807</v>
      </c>
    </row>
    <row r="3" spans="1:10">
      <c r="A3" s="47" t="s">
        <v>0</v>
      </c>
      <c r="B3" s="47"/>
      <c r="C3" s="47"/>
      <c r="D3" s="47"/>
      <c r="E3" s="47"/>
      <c r="F3" s="47"/>
      <c r="G3" s="47"/>
      <c r="H3" s="47"/>
      <c r="I3" s="47"/>
      <c r="J3">
        <f>0.8*D7</f>
        <v>18.8</v>
      </c>
    </row>
    <row r="4" spans="1:10">
      <c r="A4" s="43" t="s">
        <v>6</v>
      </c>
      <c r="B4" s="43"/>
      <c r="C4" s="43"/>
      <c r="D4" s="43"/>
      <c r="E4" s="43"/>
      <c r="F4" s="43"/>
      <c r="G4" s="43"/>
      <c r="H4" s="43"/>
      <c r="I4" s="43"/>
    </row>
    <row r="5" spans="1:10">
      <c r="A5" s="44" t="s">
        <v>7</v>
      </c>
      <c r="B5" s="44"/>
      <c r="C5" s="44"/>
      <c r="D5" s="44"/>
      <c r="E5" s="44"/>
      <c r="F5" s="44"/>
      <c r="G5" s="44"/>
      <c r="H5" s="44"/>
      <c r="I5" s="44"/>
    </row>
    <row r="6" spans="1:10">
      <c r="A6" s="21" t="s">
        <v>8</v>
      </c>
      <c r="B6" s="17">
        <v>10</v>
      </c>
      <c r="C6" s="21" t="s">
        <v>16</v>
      </c>
      <c r="D6" s="17">
        <v>0</v>
      </c>
      <c r="E6" s="21" t="s">
        <v>24</v>
      </c>
      <c r="F6" s="17">
        <v>0</v>
      </c>
    </row>
    <row r="7" spans="1:10">
      <c r="A7" s="21" t="s">
        <v>9</v>
      </c>
      <c r="B7" s="17">
        <v>0</v>
      </c>
      <c r="C7" s="21" t="s">
        <v>17</v>
      </c>
      <c r="D7" s="17">
        <v>23.5</v>
      </c>
      <c r="E7" s="21" t="s">
        <v>25</v>
      </c>
      <c r="F7" s="17">
        <v>0</v>
      </c>
    </row>
    <row r="8" spans="1:10">
      <c r="A8" s="21" t="s">
        <v>10</v>
      </c>
      <c r="B8" s="17">
        <v>0</v>
      </c>
      <c r="C8" s="21" t="s">
        <v>18</v>
      </c>
      <c r="D8" s="17">
        <v>0</v>
      </c>
      <c r="E8" s="21" t="s">
        <v>35</v>
      </c>
      <c r="F8" s="17">
        <v>0</v>
      </c>
    </row>
    <row r="9" spans="1:10">
      <c r="A9" s="21" t="s">
        <v>11</v>
      </c>
      <c r="B9" s="17">
        <v>0</v>
      </c>
      <c r="C9" s="21" t="s">
        <v>19</v>
      </c>
      <c r="D9" s="17">
        <v>0</v>
      </c>
      <c r="E9" s="21" t="s">
        <v>36</v>
      </c>
      <c r="F9" s="17">
        <v>0</v>
      </c>
    </row>
    <row r="10" spans="1:10">
      <c r="A10" s="21" t="s">
        <v>12</v>
      </c>
      <c r="B10" s="17">
        <v>0</v>
      </c>
      <c r="C10" s="21" t="s">
        <v>20</v>
      </c>
      <c r="D10" s="17">
        <v>0</v>
      </c>
      <c r="E10" s="1"/>
    </row>
    <row r="11" spans="1:10">
      <c r="A11" s="21" t="s">
        <v>13</v>
      </c>
      <c r="B11" s="17">
        <v>0</v>
      </c>
      <c r="C11" s="21" t="s">
        <v>21</v>
      </c>
      <c r="D11" s="17">
        <v>0</v>
      </c>
    </row>
    <row r="12" spans="1:10">
      <c r="A12" s="21" t="s">
        <v>14</v>
      </c>
      <c r="B12" s="17">
        <v>0</v>
      </c>
      <c r="C12" s="21" t="s">
        <v>22</v>
      </c>
      <c r="D12" s="17">
        <v>0</v>
      </c>
    </row>
    <row r="13" spans="1:10">
      <c r="A13" s="21" t="s">
        <v>15</v>
      </c>
      <c r="B13" s="17">
        <v>0</v>
      </c>
      <c r="C13" s="21" t="s">
        <v>23</v>
      </c>
      <c r="D13" s="17">
        <v>0</v>
      </c>
    </row>
    <row r="15" spans="1:10">
      <c r="A15" s="19" t="s">
        <v>26</v>
      </c>
      <c r="B15" s="11"/>
      <c r="C15" s="11"/>
      <c r="D15" s="11"/>
      <c r="E15" s="11"/>
      <c r="F15" s="5" t="s">
        <v>33</v>
      </c>
      <c r="G15" s="6">
        <f xml:space="preserve"> 1.4*(B6+B10)</f>
        <v>14</v>
      </c>
      <c r="H15" s="7" t="s">
        <v>34</v>
      </c>
      <c r="I15" s="8">
        <f xml:space="preserve"> 1.4*(B7+B11)</f>
        <v>0</v>
      </c>
    </row>
    <row r="16" spans="1:10">
      <c r="A16" s="19" t="s">
        <v>27</v>
      </c>
      <c r="B16" s="11"/>
      <c r="C16" s="11"/>
      <c r="D16" s="11"/>
      <c r="E16" s="11"/>
      <c r="F16" s="5" t="s">
        <v>33</v>
      </c>
      <c r="G16" s="6">
        <f>1.2*(B6+B10+F8)+1.6*(B8+B12)+0.5*(MAX(B8,D10,D12))</f>
        <v>12</v>
      </c>
      <c r="H16" s="7" t="s">
        <v>34</v>
      </c>
      <c r="I16" s="8">
        <f xml:space="preserve"> 1.2*(B7+B11+F9)+1.6*(B9+B13)+0.5*(MAX(D9, D11, D13))</f>
        <v>0</v>
      </c>
    </row>
    <row r="17" spans="1:9">
      <c r="A17" s="28" t="s">
        <v>28</v>
      </c>
      <c r="B17" s="12"/>
      <c r="C17" s="12"/>
      <c r="D17" s="12"/>
      <c r="E17" s="12"/>
      <c r="F17" s="5" t="s">
        <v>33</v>
      </c>
      <c r="G17" s="9">
        <f>(1.2*B6)+1.6*(MAX(D8,D10,D12))+MAX(B8,J1)</f>
        <v>12</v>
      </c>
      <c r="H17" s="7" t="s">
        <v>34</v>
      </c>
      <c r="I17" s="10">
        <f>(1.2*B7)+1.6*(MAX(D9,D11,D13))+MAX(B9,J3)</f>
        <v>18.8</v>
      </c>
    </row>
    <row r="18" spans="1:9">
      <c r="A18" s="28" t="s">
        <v>29</v>
      </c>
      <c r="B18" s="12"/>
      <c r="C18" s="12"/>
      <c r="D18" s="12"/>
      <c r="E18" s="12"/>
      <c r="F18" s="5" t="s">
        <v>33</v>
      </c>
      <c r="G18" s="9">
        <f>(1.2*B6)+1.6*(D6)+1*(B8)+0.5*(MAX(D8,D10,D12))</f>
        <v>12</v>
      </c>
      <c r="H18" s="7" t="s">
        <v>34</v>
      </c>
      <c r="I18" s="10">
        <f xml:space="preserve"> 1.2*(B7)+1.6*(D7)+1*(B9)+0.5*(MAX(D9, D11, D13))</f>
        <v>37.6</v>
      </c>
    </row>
    <row r="19" spans="1:9">
      <c r="A19" s="28" t="s">
        <v>30</v>
      </c>
      <c r="B19" s="12"/>
      <c r="C19" s="12"/>
      <c r="D19" s="12"/>
      <c r="E19" s="12"/>
      <c r="F19" s="5" t="s">
        <v>33</v>
      </c>
      <c r="G19" s="9">
        <f xml:space="preserve"> 1.2*(B6)+1*(F6)+1*(B8)+0.2*(D10)</f>
        <v>12</v>
      </c>
      <c r="H19" s="7" t="s">
        <v>34</v>
      </c>
      <c r="I19" s="10">
        <f xml:space="preserve"> 1.2*(B7)+1*(F7)+1*(B9)+0.2*(D11)</f>
        <v>0</v>
      </c>
    </row>
    <row r="20" spans="1:9">
      <c r="A20" s="28" t="s">
        <v>31</v>
      </c>
      <c r="B20" s="12"/>
      <c r="C20" s="12"/>
      <c r="D20" s="12"/>
      <c r="E20" s="12"/>
      <c r="F20" s="5" t="s">
        <v>33</v>
      </c>
      <c r="G20" s="9">
        <f xml:space="preserve"> 0.9*(B6)+1.6*(D6)+1.6*(B12)</f>
        <v>9</v>
      </c>
      <c r="H20" s="7" t="s">
        <v>34</v>
      </c>
      <c r="I20" s="10">
        <f xml:space="preserve"> 0.9*(B7)+1.6*(D7)+1.6*(B13)</f>
        <v>37.6</v>
      </c>
    </row>
    <row r="21" spans="1:9">
      <c r="A21" s="28" t="s">
        <v>32</v>
      </c>
      <c r="B21" s="12"/>
      <c r="C21" s="12"/>
      <c r="D21" s="12"/>
      <c r="E21" s="12"/>
      <c r="F21" s="5" t="s">
        <v>33</v>
      </c>
      <c r="G21" s="9">
        <f xml:space="preserve"> 0.9*(B6)+1*(F6)+1.6*(B12)</f>
        <v>9</v>
      </c>
      <c r="H21" s="7" t="s">
        <v>34</v>
      </c>
      <c r="I21" s="10">
        <f xml:space="preserve"> 0.9*(B7)+1*(F7)+1.6*(B13)</f>
        <v>0</v>
      </c>
    </row>
    <row r="23" spans="1:9">
      <c r="A23" s="29" t="s">
        <v>37</v>
      </c>
      <c r="B23" s="9">
        <v>12</v>
      </c>
      <c r="C23" s="31" t="s">
        <v>45</v>
      </c>
    </row>
    <row r="24" spans="1:9" ht="15.75" thickBot="1">
      <c r="A24" s="30" t="s">
        <v>38</v>
      </c>
      <c r="B24" s="27">
        <f>MAX(I15:I21)</f>
        <v>37.6</v>
      </c>
      <c r="C24" s="32" t="s">
        <v>45</v>
      </c>
      <c r="D24" s="4"/>
      <c r="E24" s="4"/>
      <c r="F24" s="4"/>
      <c r="G24" s="4"/>
      <c r="H24" s="4"/>
      <c r="I24" s="4"/>
    </row>
    <row r="25" spans="1:9" ht="15.75" thickTop="1">
      <c r="A25" s="43" t="s">
        <v>39</v>
      </c>
      <c r="B25" s="43"/>
      <c r="C25" s="43"/>
      <c r="D25" s="43"/>
      <c r="E25" s="43"/>
      <c r="F25" s="43"/>
      <c r="G25" s="43"/>
      <c r="H25" s="43"/>
      <c r="I25" s="43"/>
    </row>
    <row r="36" spans="1:9">
      <c r="A36" s="44" t="s">
        <v>42</v>
      </c>
      <c r="B36" s="44"/>
      <c r="C36" s="44"/>
      <c r="D36" s="44"/>
      <c r="E36" s="44"/>
      <c r="F36" s="44"/>
      <c r="G36" s="44"/>
      <c r="H36" s="44"/>
      <c r="I36" s="44"/>
    </row>
    <row r="37" spans="1:9">
      <c r="A37" s="15" t="s">
        <v>1</v>
      </c>
      <c r="B37" s="13">
        <v>4000</v>
      </c>
      <c r="C37" s="17" t="s">
        <v>47</v>
      </c>
      <c r="D37" s="15" t="s">
        <v>57</v>
      </c>
      <c r="E37" s="13">
        <v>10.75</v>
      </c>
      <c r="F37" s="17" t="s">
        <v>40</v>
      </c>
      <c r="G37" s="15" t="s">
        <v>92</v>
      </c>
      <c r="H37" s="13">
        <v>38.5</v>
      </c>
      <c r="I37" s="17" t="s">
        <v>40</v>
      </c>
    </row>
    <row r="38" spans="1:9">
      <c r="A38" s="15" t="s">
        <v>2</v>
      </c>
      <c r="B38" s="13">
        <v>1.5</v>
      </c>
      <c r="C38" s="17" t="s">
        <v>40</v>
      </c>
      <c r="D38" s="15" t="s">
        <v>58</v>
      </c>
      <c r="E38" s="13">
        <v>10.75</v>
      </c>
      <c r="F38" s="17" t="s">
        <v>40</v>
      </c>
      <c r="G38" s="15" t="s">
        <v>72</v>
      </c>
      <c r="H38" s="13">
        <v>54</v>
      </c>
      <c r="I38" s="17" t="s">
        <v>40</v>
      </c>
    </row>
    <row r="39" spans="1:9">
      <c r="A39" s="15" t="s">
        <v>3</v>
      </c>
      <c r="B39" s="13">
        <v>36</v>
      </c>
      <c r="C39" s="17" t="s">
        <v>40</v>
      </c>
      <c r="D39" s="15" t="s">
        <v>44</v>
      </c>
      <c r="E39" s="13">
        <v>6</v>
      </c>
      <c r="F39" s="17"/>
      <c r="G39" s="15" t="s">
        <v>87</v>
      </c>
      <c r="H39" s="13">
        <v>0.7</v>
      </c>
      <c r="I39" s="17"/>
    </row>
    <row r="40" spans="1:9">
      <c r="A40" s="15" t="s">
        <v>4</v>
      </c>
      <c r="B40" s="13">
        <v>60000</v>
      </c>
      <c r="C40" s="17" t="s">
        <v>47</v>
      </c>
      <c r="D40" s="15" t="s">
        <v>55</v>
      </c>
      <c r="E40" s="13">
        <v>15.25</v>
      </c>
      <c r="F40" s="17" t="s">
        <v>40</v>
      </c>
      <c r="G40" s="15" t="s">
        <v>88</v>
      </c>
      <c r="H40" s="13">
        <v>0.7</v>
      </c>
      <c r="I40" s="17"/>
    </row>
    <row r="41" spans="1:9">
      <c r="A41" s="15" t="s">
        <v>5</v>
      </c>
      <c r="B41" s="37">
        <f>((PI()*B38^2)/4)</f>
        <v>1.7671458676442586</v>
      </c>
      <c r="C41" s="17" t="s">
        <v>41</v>
      </c>
      <c r="D41" s="15" t="s">
        <v>56</v>
      </c>
      <c r="E41" s="13">
        <v>15.25</v>
      </c>
      <c r="F41" s="17" t="s">
        <v>40</v>
      </c>
      <c r="G41" s="15" t="s">
        <v>89</v>
      </c>
      <c r="H41" s="13">
        <v>24</v>
      </c>
      <c r="I41" s="33" t="s">
        <v>90</v>
      </c>
    </row>
    <row r="43" spans="1:9">
      <c r="A43" s="2" t="s">
        <v>43</v>
      </c>
    </row>
    <row r="44" spans="1:9">
      <c r="A44" s="2" t="s">
        <v>61</v>
      </c>
      <c r="F44" s="10">
        <f>E39*B40*B41</f>
        <v>636172.51235193305</v>
      </c>
      <c r="G44" s="14" t="s">
        <v>48</v>
      </c>
    </row>
    <row r="45" spans="1:9">
      <c r="F45" s="42"/>
      <c r="G45" s="42"/>
    </row>
    <row r="47" spans="1:9">
      <c r="A47" s="2" t="s">
        <v>46</v>
      </c>
    </row>
    <row r="48" spans="1:9">
      <c r="A48" s="38" t="s">
        <v>91</v>
      </c>
      <c r="B48" s="38"/>
      <c r="C48" s="38"/>
      <c r="D48" s="22"/>
      <c r="E48" s="22"/>
      <c r="F48" s="10">
        <f>H41*1*SQRT(B37)*B39^1.5</f>
        <v>327864.94780625764</v>
      </c>
      <c r="G48" s="17" t="s">
        <v>48</v>
      </c>
    </row>
    <row r="49" spans="1:9">
      <c r="A49" s="39" t="s">
        <v>49</v>
      </c>
      <c r="B49" s="22"/>
      <c r="C49" s="22"/>
      <c r="D49" s="22"/>
      <c r="E49" s="22"/>
      <c r="F49" s="10">
        <f>9*B39^2</f>
        <v>11664</v>
      </c>
      <c r="G49" s="17" t="s">
        <v>41</v>
      </c>
    </row>
    <row r="50" spans="1:9">
      <c r="A50" s="39" t="s">
        <v>102</v>
      </c>
      <c r="B50" s="22"/>
      <c r="C50" s="22"/>
      <c r="D50" s="22"/>
      <c r="E50" s="22"/>
      <c r="F50" s="10">
        <f>(E37+E40+E41+E38)*(2*(1.5*B39)+H37)</f>
        <v>7618</v>
      </c>
      <c r="G50" s="17" t="s">
        <v>41</v>
      </c>
    </row>
    <row r="51" spans="1:9">
      <c r="A51" s="22" t="s">
        <v>52</v>
      </c>
      <c r="B51" s="22"/>
      <c r="C51" s="22"/>
      <c r="D51" s="22"/>
      <c r="E51" s="22"/>
      <c r="F51" s="13">
        <v>1</v>
      </c>
      <c r="G51" s="17"/>
    </row>
    <row r="52" spans="1:9">
      <c r="A52" s="22" t="s">
        <v>50</v>
      </c>
      <c r="B52" s="22"/>
      <c r="C52" s="22"/>
      <c r="D52" s="22"/>
      <c r="E52" s="22"/>
      <c r="F52" s="10">
        <f>(0.7+0.3*(E37/(1.5*B39)))</f>
        <v>0.75972222222222219</v>
      </c>
      <c r="G52" s="17"/>
      <c r="H52" t="s">
        <v>51</v>
      </c>
    </row>
    <row r="53" spans="1:9">
      <c r="A53" s="22" t="s">
        <v>53</v>
      </c>
      <c r="B53" s="22"/>
      <c r="C53" s="22"/>
      <c r="D53" s="22"/>
      <c r="E53" s="22"/>
      <c r="F53" s="13">
        <v>1.25</v>
      </c>
      <c r="G53" s="17"/>
    </row>
    <row r="54" spans="1:9">
      <c r="A54" s="22" t="s">
        <v>54</v>
      </c>
      <c r="B54" s="22"/>
      <c r="C54" s="22"/>
      <c r="D54" s="22"/>
      <c r="E54" s="22"/>
      <c r="F54" s="13">
        <f>1.5*E37/(2.5*B39)</f>
        <v>0.17916666666666667</v>
      </c>
      <c r="G54" s="17"/>
    </row>
    <row r="55" spans="1:9">
      <c r="A55" s="22" t="s">
        <v>59</v>
      </c>
      <c r="B55" s="22"/>
      <c r="C55" s="22"/>
      <c r="D55" s="22"/>
      <c r="E55" s="22"/>
      <c r="F55" s="10">
        <f>(F50/F49)*F51*F52*F53*F54*F48</f>
        <v>36434.306096440479</v>
      </c>
      <c r="G55" s="17" t="s">
        <v>48</v>
      </c>
    </row>
    <row r="56" spans="1:9" ht="15.75" thickBot="1">
      <c r="A56" s="40" t="s">
        <v>60</v>
      </c>
      <c r="B56" s="22"/>
      <c r="C56" s="22"/>
      <c r="D56" s="22"/>
      <c r="E56" s="22"/>
      <c r="F56" s="20">
        <f>H40*F55</f>
        <v>25504.014267508333</v>
      </c>
      <c r="G56" s="17" t="s">
        <v>48</v>
      </c>
    </row>
    <row r="57" spans="1:9" ht="15.75" thickTop="1">
      <c r="A57" s="36" t="s">
        <v>62</v>
      </c>
      <c r="B57" s="36"/>
      <c r="C57" s="36"/>
      <c r="D57" s="36"/>
      <c r="E57" s="36"/>
      <c r="F57" s="36"/>
      <c r="G57" s="41" t="s">
        <v>96</v>
      </c>
      <c r="H57" s="35">
        <v>6</v>
      </c>
      <c r="I57" s="36" t="s">
        <v>40</v>
      </c>
    </row>
    <row r="58" spans="1:9">
      <c r="A58" t="s">
        <v>63</v>
      </c>
    </row>
    <row r="59" spans="1:9">
      <c r="A59" t="s">
        <v>95</v>
      </c>
      <c r="F59" s="13">
        <v>1</v>
      </c>
      <c r="G59" s="17"/>
    </row>
    <row r="60" spans="1:9">
      <c r="A60" t="s">
        <v>94</v>
      </c>
      <c r="F60" s="20">
        <f>8*B37*F59*B38</f>
        <v>48000</v>
      </c>
      <c r="G60" s="17" t="s">
        <v>48</v>
      </c>
    </row>
    <row r="61" spans="1:9" ht="15.75">
      <c r="A61" t="s">
        <v>93</v>
      </c>
      <c r="F61" s="20">
        <f>F59*F60</f>
        <v>48000</v>
      </c>
      <c r="G61" s="17" t="s">
        <v>48</v>
      </c>
    </row>
    <row r="63" spans="1:9" ht="15.75" thickBot="1"/>
    <row r="64" spans="1:9" ht="15.75" thickTop="1">
      <c r="A64" s="36" t="s">
        <v>65</v>
      </c>
      <c r="B64" s="36"/>
      <c r="C64" s="36"/>
      <c r="D64" s="36"/>
      <c r="E64" s="36"/>
      <c r="F64" s="36"/>
      <c r="G64" s="36"/>
      <c r="H64" s="36"/>
      <c r="I64" s="36"/>
    </row>
    <row r="65" spans="1:9">
      <c r="G65" s="16" t="s">
        <v>97</v>
      </c>
      <c r="H65" s="17">
        <f>((PI()*B38^2)/4)*4</f>
        <v>7.0685834705770345</v>
      </c>
      <c r="I65" t="s">
        <v>64</v>
      </c>
    </row>
    <row r="66" spans="1:9">
      <c r="G66" s="16" t="s">
        <v>98</v>
      </c>
      <c r="H66" s="17">
        <v>1</v>
      </c>
    </row>
    <row r="67" spans="1:9">
      <c r="G67" s="16" t="s">
        <v>101</v>
      </c>
      <c r="H67" s="17">
        <v>38.5</v>
      </c>
      <c r="I67" t="s">
        <v>40</v>
      </c>
    </row>
    <row r="68" spans="1:9">
      <c r="A68" s="22" t="s">
        <v>99</v>
      </c>
      <c r="B68" s="22"/>
      <c r="C68" s="22"/>
      <c r="D68" s="22"/>
      <c r="E68" s="22"/>
      <c r="F68" s="20">
        <f>(160*E37*SQRT(H65))*H66*SQRT(B37)</f>
        <v>289217.54676613311</v>
      </c>
      <c r="G68" s="17" t="s">
        <v>48</v>
      </c>
      <c r="H68" s="22"/>
      <c r="I68" s="22"/>
    </row>
    <row r="69" spans="1:9">
      <c r="A69" s="22" t="s">
        <v>100</v>
      </c>
      <c r="B69" s="22"/>
      <c r="C69" s="22"/>
      <c r="D69" s="22"/>
      <c r="E69" s="22"/>
      <c r="F69" s="20">
        <f>(1+(H67/(6*E37)))*F68</f>
        <v>461851.27623118926</v>
      </c>
      <c r="G69" s="17" t="s">
        <v>48</v>
      </c>
      <c r="I69" s="22"/>
    </row>
    <row r="70" spans="1:9" ht="15.75" thickBot="1"/>
    <row r="71" spans="1:9" ht="15.75" thickTop="1">
      <c r="A71" s="36" t="s">
        <v>66</v>
      </c>
      <c r="B71" s="36"/>
      <c r="C71" s="36"/>
      <c r="D71" s="36"/>
      <c r="E71" s="36"/>
      <c r="F71" s="36"/>
      <c r="G71" s="34" t="s">
        <v>67</v>
      </c>
      <c r="H71" s="35">
        <v>0.75</v>
      </c>
      <c r="I71" s="36"/>
    </row>
    <row r="72" spans="1:9">
      <c r="A72" t="s">
        <v>68</v>
      </c>
      <c r="F72" s="10">
        <f>H71*E39*B41*B40</f>
        <v>477129.38426394982</v>
      </c>
      <c r="G72" s="23" t="s">
        <v>48</v>
      </c>
    </row>
    <row r="73" spans="1:9" ht="15.75" thickBot="1">
      <c r="A73" s="4"/>
      <c r="B73" s="4"/>
      <c r="C73" s="4"/>
      <c r="D73" s="4"/>
      <c r="E73" s="4"/>
      <c r="F73" s="4"/>
      <c r="G73" s="4"/>
      <c r="H73" s="4"/>
      <c r="I73" s="4"/>
    </row>
    <row r="74" spans="1:9" ht="15.75" thickTop="1">
      <c r="A74" t="s">
        <v>69</v>
      </c>
    </row>
    <row r="75" spans="1:9">
      <c r="G75" s="24" t="s">
        <v>71</v>
      </c>
      <c r="H75" s="17">
        <f>MIN((B39),(8*B38))</f>
        <v>12</v>
      </c>
    </row>
    <row r="76" spans="1:9">
      <c r="A76" t="s">
        <v>70</v>
      </c>
      <c r="F76" s="10">
        <f>(7*(H75/B38)^0.2)*(SQRT(B38))*1*SQRT(B37)*((E37)^1.5)</f>
        <v>28967.056003631231</v>
      </c>
      <c r="G76" s="17" t="s">
        <v>48</v>
      </c>
    </row>
    <row r="77" spans="1:9">
      <c r="A77" t="s">
        <v>73</v>
      </c>
      <c r="F77" s="10">
        <f xml:space="preserve"> (2*(1.5*E37)+E40)*H38</f>
        <v>2565</v>
      </c>
      <c r="G77" s="17" t="s">
        <v>64</v>
      </c>
    </row>
    <row r="78" spans="1:9">
      <c r="A78" t="s">
        <v>74</v>
      </c>
      <c r="F78" s="10">
        <f>4*E37^2</f>
        <v>462.25</v>
      </c>
      <c r="G78" s="17" t="s">
        <v>64</v>
      </c>
    </row>
    <row r="79" spans="1:9">
      <c r="A79" t="s">
        <v>75</v>
      </c>
      <c r="F79" s="18">
        <v>1</v>
      </c>
    </row>
    <row r="80" spans="1:9">
      <c r="A80" t="s">
        <v>76</v>
      </c>
      <c r="F80" s="25">
        <f>(0.7+0.3*(E38/(1.5*E37)))</f>
        <v>0.89999999999999991</v>
      </c>
      <c r="H80" t="s">
        <v>77</v>
      </c>
    </row>
    <row r="81" spans="1:9">
      <c r="A81" t="s">
        <v>78</v>
      </c>
      <c r="F81" s="18">
        <v>1.4</v>
      </c>
    </row>
    <row r="82" spans="1:9">
      <c r="A82" t="s">
        <v>79</v>
      </c>
      <c r="F82" s="26">
        <v>1</v>
      </c>
    </row>
    <row r="83" spans="1:9">
      <c r="A83" t="s">
        <v>80</v>
      </c>
      <c r="F83" s="10">
        <f xml:space="preserve"> (F77/F78)*F79*F80*F81*F82*F76</f>
        <v>202528.13044485831</v>
      </c>
      <c r="G83" s="17" t="s">
        <v>48</v>
      </c>
    </row>
    <row r="84" spans="1:9" ht="15.75" thickBot="1">
      <c r="A84" s="4"/>
      <c r="B84" s="4"/>
      <c r="C84" s="4"/>
      <c r="D84" s="4"/>
      <c r="E84" s="4"/>
      <c r="F84" s="4"/>
      <c r="G84" s="4"/>
      <c r="H84" s="4"/>
      <c r="I84" s="4"/>
    </row>
    <row r="85" spans="1:9" ht="15.75" thickTop="1">
      <c r="A85" t="s">
        <v>81</v>
      </c>
    </row>
    <row r="86" spans="1:9">
      <c r="G86" s="24" t="s">
        <v>83</v>
      </c>
      <c r="H86" s="17">
        <v>2</v>
      </c>
    </row>
    <row r="87" spans="1:9">
      <c r="A87" t="s">
        <v>82</v>
      </c>
      <c r="F87" s="10">
        <f xml:space="preserve"> H86*F56</f>
        <v>51008.028535016667</v>
      </c>
      <c r="G87" s="14" t="s">
        <v>48</v>
      </c>
    </row>
  </sheetData>
  <mergeCells count="6">
    <mergeCell ref="A25:I25"/>
    <mergeCell ref="A36:I36"/>
    <mergeCell ref="A5:I5"/>
    <mergeCell ref="A1:I1"/>
    <mergeCell ref="A4:I4"/>
    <mergeCell ref="A3:I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 </cp:lastModifiedBy>
  <cp:lastPrinted>2011-09-22T15:55:37Z</cp:lastPrinted>
  <dcterms:created xsi:type="dcterms:W3CDTF">2011-09-13T14:45:15Z</dcterms:created>
  <dcterms:modified xsi:type="dcterms:W3CDTF">2011-09-22T16:04:47Z</dcterms:modified>
</cp:coreProperties>
</file>