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xr:revisionPtr revIDLastSave="0" documentId="8_{F06642E8-57EA-4258-B102-1267E0CF10C7}" xr6:coauthVersionLast="44" xr6:coauthVersionMax="44" xr10:uidLastSave="{00000000-0000-0000-0000-000000000000}"/>
  <bookViews>
    <workbookView xWindow="10440" yWindow="150" windowWidth="21285" windowHeight="14355" tabRatio="500" activeTab="2" xr2:uid="{00000000-000D-0000-FFFF-FFFF00000000}"/>
  </bookViews>
  <sheets>
    <sheet name="La DOTD" sheetId="8" r:id="rId1"/>
    <sheet name="10 Year" sheetId="1" r:id="rId2"/>
    <sheet name="25 Year" sheetId="7" r:id="rId3"/>
    <sheet name="100 Year" sheetId="2" r:id="rId4"/>
  </sheets>
  <definedNames>
    <definedName name="_xlnm.Print_Area" localSheetId="1">'10 Year'!$A$1:$F$173</definedName>
    <definedName name="_xlnm.Print_Area" localSheetId="2">'25 Year'!$A$1:$F$126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4" i="2" l="1"/>
  <c r="C113" i="2"/>
  <c r="C112" i="2"/>
  <c r="C111" i="2"/>
  <c r="C110" i="2"/>
  <c r="C109" i="2"/>
  <c r="C108" i="2"/>
  <c r="C107" i="2"/>
  <c r="C106" i="2"/>
  <c r="C105" i="2"/>
  <c r="C104" i="2"/>
  <c r="D76" i="2"/>
  <c r="E66" i="2"/>
  <c r="C66" i="2"/>
  <c r="E59" i="2"/>
  <c r="F58" i="2"/>
  <c r="F57" i="2"/>
  <c r="F56" i="2"/>
  <c r="F59" i="2" s="1"/>
  <c r="D60" i="2" s="1"/>
  <c r="C64" i="2" s="1"/>
  <c r="D66" i="2" s="1"/>
  <c r="E19" i="2"/>
  <c r="C19" i="2"/>
  <c r="F16" i="2"/>
  <c r="C16" i="2"/>
  <c r="E12" i="2"/>
  <c r="C26" i="2" s="1"/>
  <c r="F11" i="2"/>
  <c r="F10" i="2"/>
  <c r="F9" i="2"/>
  <c r="F12" i="2" s="1"/>
  <c r="D13" i="2" s="1"/>
  <c r="C17" i="2" s="1"/>
  <c r="D19" i="2" s="1"/>
  <c r="A2" i="2"/>
  <c r="A1" i="2"/>
  <c r="I143" i="7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I155" i="7" s="1"/>
  <c r="I156" i="7" s="1"/>
  <c r="I157" i="7" s="1"/>
  <c r="I158" i="7" s="1"/>
  <c r="I159" i="7" s="1"/>
  <c r="I160" i="7" s="1"/>
  <c r="I161" i="7" s="1"/>
  <c r="I162" i="7" s="1"/>
  <c r="I163" i="7" s="1"/>
  <c r="I164" i="7" s="1"/>
  <c r="I165" i="7" s="1"/>
  <c r="I166" i="7" s="1"/>
  <c r="I167" i="7" s="1"/>
  <c r="I168" i="7" s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K142" i="7"/>
  <c r="I120" i="7"/>
  <c r="C107" i="7"/>
  <c r="E105" i="7"/>
  <c r="D57" i="7"/>
  <c r="C51" i="7"/>
  <c r="E47" i="7"/>
  <c r="C47" i="7"/>
  <c r="F44" i="7"/>
  <c r="E39" i="7"/>
  <c r="F39" i="7" s="1"/>
  <c r="F38" i="7"/>
  <c r="E38" i="7"/>
  <c r="C25" i="7"/>
  <c r="C53" i="7" s="1"/>
  <c r="C24" i="7"/>
  <c r="C52" i="7" s="1"/>
  <c r="C23" i="7"/>
  <c r="C19" i="7"/>
  <c r="F16" i="7"/>
  <c r="C16" i="7"/>
  <c r="E19" i="7" s="1"/>
  <c r="E12" i="7"/>
  <c r="C26" i="7" s="1"/>
  <c r="F11" i="7"/>
  <c r="E11" i="7"/>
  <c r="E10" i="7"/>
  <c r="F10" i="7" s="1"/>
  <c r="I9" i="7"/>
  <c r="F9" i="7"/>
  <c r="F12" i="7" s="1"/>
  <c r="D13" i="7" s="1"/>
  <c r="C17" i="7" s="1"/>
  <c r="D19" i="7" s="1"/>
  <c r="E9" i="7"/>
  <c r="A2" i="7"/>
  <c r="A1" i="7"/>
  <c r="A111" i="7" s="1"/>
  <c r="I190" i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K189" i="1"/>
  <c r="N176" i="1"/>
  <c r="F168" i="1"/>
  <c r="N167" i="1"/>
  <c r="N162" i="1"/>
  <c r="N166" i="1" s="1"/>
  <c r="L162" i="1"/>
  <c r="A160" i="1"/>
  <c r="A159" i="1"/>
  <c r="B154" i="1"/>
  <c r="B149" i="1"/>
  <c r="B144" i="1"/>
  <c r="B139" i="1"/>
  <c r="B134" i="1"/>
  <c r="C156" i="1" s="1"/>
  <c r="A120" i="1"/>
  <c r="A119" i="1"/>
  <c r="A84" i="1"/>
  <c r="A83" i="1"/>
  <c r="D70" i="1"/>
  <c r="C66" i="1"/>
  <c r="E60" i="1"/>
  <c r="C60" i="1"/>
  <c r="F57" i="1"/>
  <c r="F52" i="1"/>
  <c r="F51" i="1"/>
  <c r="E50" i="1"/>
  <c r="F50" i="1" s="1"/>
  <c r="F53" i="1" s="1"/>
  <c r="A43" i="1"/>
  <c r="A42" i="1"/>
  <c r="C25" i="1"/>
  <c r="C24" i="1"/>
  <c r="C65" i="1" s="1"/>
  <c r="C23" i="1"/>
  <c r="C64" i="1" s="1"/>
  <c r="C19" i="1"/>
  <c r="F16" i="1"/>
  <c r="C16" i="1"/>
  <c r="E19" i="1" s="1"/>
  <c r="F12" i="1"/>
  <c r="D13" i="1" s="1"/>
  <c r="C17" i="1" s="1"/>
  <c r="D19" i="1" s="1"/>
  <c r="E12" i="1"/>
  <c r="C26" i="1" s="1"/>
  <c r="F11" i="1"/>
  <c r="F10" i="1"/>
  <c r="G9" i="1"/>
  <c r="F9" i="1"/>
  <c r="C67" i="1" l="1"/>
  <c r="C54" i="7"/>
  <c r="C102" i="1"/>
  <c r="C98" i="1"/>
  <c r="C94" i="1"/>
  <c r="C95" i="1"/>
  <c r="C101" i="1"/>
  <c r="C99" i="1"/>
  <c r="C100" i="1"/>
  <c r="C96" i="1"/>
  <c r="C92" i="1"/>
  <c r="C97" i="1"/>
  <c r="C93" i="1"/>
  <c r="E37" i="7"/>
  <c r="D18" i="2"/>
  <c r="C22" i="2" s="1"/>
  <c r="D21" i="2" s="1"/>
  <c r="A62" i="7"/>
  <c r="D104" i="2"/>
  <c r="D18" i="1"/>
  <c r="C22" i="1" s="1"/>
  <c r="D21" i="1" s="1"/>
  <c r="D27" i="1" s="1"/>
  <c r="C30" i="1" s="1"/>
  <c r="E72" i="1" s="1"/>
  <c r="C164" i="1" s="1"/>
  <c r="C168" i="1" s="1"/>
  <c r="C170" i="1" s="1"/>
  <c r="C171" i="1" s="1"/>
  <c r="E53" i="1"/>
  <c r="D54" i="1" s="1"/>
  <c r="C58" i="1" s="1"/>
  <c r="D60" i="1" s="1"/>
  <c r="D59" i="1" s="1"/>
  <c r="C63" i="1" s="1"/>
  <c r="D62" i="1" s="1"/>
  <c r="D18" i="7"/>
  <c r="C22" i="7" s="1"/>
  <c r="D21" i="7" s="1"/>
  <c r="D27" i="7" s="1"/>
  <c r="C30" i="7" s="1"/>
  <c r="F30" i="7" s="1"/>
  <c r="E59" i="7" s="1"/>
  <c r="C116" i="7" s="1"/>
  <c r="C120" i="7" s="1"/>
  <c r="C123" i="7" s="1"/>
  <c r="N163" i="1"/>
  <c r="A112" i="7"/>
  <c r="A63" i="7"/>
  <c r="D65" i="2"/>
  <c r="C69" i="2" s="1"/>
  <c r="D68" i="2" s="1"/>
  <c r="D105" i="2"/>
  <c r="D109" i="2"/>
  <c r="E109" i="2" s="1"/>
  <c r="F109" i="2" s="1"/>
  <c r="C81" i="7"/>
  <c r="C80" i="7"/>
  <c r="C79" i="7"/>
  <c r="C78" i="7"/>
  <c r="C77" i="7"/>
  <c r="C76" i="7"/>
  <c r="C75" i="7"/>
  <c r="C74" i="7"/>
  <c r="C73" i="7"/>
  <c r="C72" i="7"/>
  <c r="C71" i="7"/>
  <c r="C73" i="2"/>
  <c r="D74" i="2" s="1"/>
  <c r="C76" i="2" s="1"/>
  <c r="D27" i="2"/>
  <c r="C30" i="2" s="1"/>
  <c r="E78" i="2" s="1"/>
  <c r="D106" i="2"/>
  <c r="E106" i="2" s="1"/>
  <c r="F106" i="2" s="1"/>
  <c r="D114" i="2"/>
  <c r="E105" i="2" l="1"/>
  <c r="F105" i="2" s="1"/>
  <c r="D95" i="1"/>
  <c r="E95" i="1" s="1"/>
  <c r="F95" i="1" s="1"/>
  <c r="E114" i="2"/>
  <c r="F114" i="2" s="1"/>
  <c r="D112" i="2"/>
  <c r="E112" i="2" s="1"/>
  <c r="F112" i="2" s="1"/>
  <c r="D107" i="2"/>
  <c r="E107" i="2" s="1"/>
  <c r="F107" i="2" s="1"/>
  <c r="D93" i="1"/>
  <c r="E93" i="1" s="1"/>
  <c r="F93" i="1" s="1"/>
  <c r="D100" i="1"/>
  <c r="E100" i="1" s="1"/>
  <c r="F100" i="1" s="1"/>
  <c r="D94" i="1"/>
  <c r="E94" i="1" s="1"/>
  <c r="F94" i="1" s="1"/>
  <c r="D96" i="1"/>
  <c r="E96" i="1" s="1"/>
  <c r="F96" i="1" s="1"/>
  <c r="D110" i="2"/>
  <c r="E110" i="2" s="1"/>
  <c r="F110" i="2" s="1"/>
  <c r="D111" i="2"/>
  <c r="E111" i="2" s="1"/>
  <c r="F111" i="2" s="1"/>
  <c r="D113" i="2"/>
  <c r="E113" i="2" s="1"/>
  <c r="F113" i="2" s="1"/>
  <c r="D108" i="2"/>
  <c r="E108" i="2" s="1"/>
  <c r="F108" i="2" s="1"/>
  <c r="D97" i="1"/>
  <c r="E97" i="1" s="1"/>
  <c r="D99" i="1"/>
  <c r="E99" i="1" s="1"/>
  <c r="F99" i="1" s="1"/>
  <c r="D98" i="1"/>
  <c r="E98" i="1" s="1"/>
  <c r="F98" i="1" s="1"/>
  <c r="E104" i="2"/>
  <c r="F104" i="2" s="1"/>
  <c r="E40" i="7"/>
  <c r="F37" i="7"/>
  <c r="F40" i="7" s="1"/>
  <c r="D41" i="7" s="1"/>
  <c r="C45" i="7" s="1"/>
  <c r="D47" i="7" s="1"/>
  <c r="D46" i="7" s="1"/>
  <c r="C50" i="7" s="1"/>
  <c r="D49" i="7" s="1"/>
  <c r="D55" i="7" s="1"/>
  <c r="C57" i="7" s="1"/>
  <c r="D92" i="1"/>
  <c r="E92" i="1" s="1"/>
  <c r="F92" i="1" s="1"/>
  <c r="D101" i="1"/>
  <c r="E101" i="1" s="1"/>
  <c r="F101" i="1" s="1"/>
  <c r="D102" i="1"/>
  <c r="E102" i="1" s="1"/>
  <c r="F102" i="1" s="1"/>
  <c r="D68" i="1"/>
  <c r="C70" i="1" s="1"/>
  <c r="D78" i="7" l="1"/>
  <c r="E78" i="7" s="1"/>
  <c r="F78" i="7" s="1"/>
  <c r="D79" i="7"/>
  <c r="E79" i="7" s="1"/>
  <c r="F79" i="7" s="1"/>
  <c r="D76" i="7"/>
  <c r="E76" i="7" s="1"/>
  <c r="F76" i="7" s="1"/>
  <c r="D81" i="7"/>
  <c r="E81" i="7" s="1"/>
  <c r="F81" i="7" s="1"/>
  <c r="D80" i="7"/>
  <c r="E80" i="7" s="1"/>
  <c r="F80" i="7" s="1"/>
  <c r="N165" i="1"/>
  <c r="N173" i="1" s="1"/>
  <c r="F97" i="1"/>
  <c r="D74" i="7"/>
  <c r="E74" i="7" s="1"/>
  <c r="F74" i="7" s="1"/>
  <c r="D73" i="7"/>
  <c r="E73" i="7" s="1"/>
  <c r="F73" i="7" s="1"/>
  <c r="D72" i="7"/>
  <c r="E72" i="7" s="1"/>
  <c r="F72" i="7" s="1"/>
  <c r="D75" i="7"/>
  <c r="E75" i="7" s="1"/>
  <c r="F75" i="7" s="1"/>
  <c r="D77" i="7"/>
  <c r="E77" i="7" s="1"/>
  <c r="F77" i="7" s="1"/>
  <c r="D71" i="7"/>
  <c r="E71" i="7" s="1"/>
  <c r="F71" i="7" s="1"/>
</calcChain>
</file>

<file path=xl/sharedStrings.xml><?xml version="1.0" encoding="utf-8"?>
<sst xmlns="http://schemas.openxmlformats.org/spreadsheetml/2006/main" count="394" uniqueCount="147">
  <si>
    <t>El Paso Restaurant</t>
  </si>
  <si>
    <t>200 West Gloria Switch Road</t>
  </si>
  <si>
    <t>Carencro, Louisiana  Lafayette Parish</t>
  </si>
  <si>
    <t>Drainage Calculations - Modified Rational Method, LDOTD Hydraulics Manual</t>
  </si>
  <si>
    <t>Predevelopment Condition</t>
  </si>
  <si>
    <t>10 Year Frequency</t>
  </si>
  <si>
    <t>Q= CIA</t>
  </si>
  <si>
    <t>Factor</t>
  </si>
  <si>
    <t>Area, sf</t>
  </si>
  <si>
    <t>Total</t>
  </si>
  <si>
    <t>mi^2</t>
  </si>
  <si>
    <t>C</t>
  </si>
  <si>
    <t>Undeveloped Area</t>
  </si>
  <si>
    <t>Gravel Area</t>
  </si>
  <si>
    <t>Building/ Parking</t>
  </si>
  <si>
    <t>Weighted C Factor</t>
  </si>
  <si>
    <t>I</t>
  </si>
  <si>
    <t>Hydraulic Length, L</t>
  </si>
  <si>
    <t>feet</t>
  </si>
  <si>
    <t>Slope, in %, S</t>
  </si>
  <si>
    <t>Runoff Coefficient, C</t>
  </si>
  <si>
    <t>Time of Concentration</t>
  </si>
  <si>
    <t>Tc</t>
  </si>
  <si>
    <t>minutes</t>
  </si>
  <si>
    <t>I, intensity from Region 1</t>
  </si>
  <si>
    <t>D</t>
  </si>
  <si>
    <t>a</t>
  </si>
  <si>
    <t>b</t>
  </si>
  <si>
    <t>c</t>
  </si>
  <si>
    <t>Area, Acres</t>
  </si>
  <si>
    <t xml:space="preserve">Q10 Flow, cfs </t>
  </si>
  <si>
    <t>C*I*A</t>
  </si>
  <si>
    <t>cfs</t>
  </si>
  <si>
    <t>Q10 Predev Flow</t>
  </si>
  <si>
    <t>Postdevelopment Condition</t>
  </si>
  <si>
    <t>Q10 Postdev Flow</t>
  </si>
  <si>
    <t>Q10 Allowable Flow- Undeveloped Flow =</t>
  </si>
  <si>
    <t>Storage Requirements for a 10 Year Frequency Storm Event</t>
  </si>
  <si>
    <t>i = a(D + b) ^c</t>
  </si>
  <si>
    <t>Max Storage Volume=  (D x q)  -  (.5 x Q10 Allowable Flow x (D + Tc)</t>
  </si>
  <si>
    <t>q = D x A x C</t>
  </si>
  <si>
    <t>Storm Duration (D)</t>
  </si>
  <si>
    <t xml:space="preserve">Time  </t>
  </si>
  <si>
    <t>i</t>
  </si>
  <si>
    <t>q, cfs</t>
  </si>
  <si>
    <t>Max. Storage Volume, cf</t>
  </si>
  <si>
    <t>Max. Storage Volume, ac-ft</t>
  </si>
  <si>
    <t>min</t>
  </si>
  <si>
    <t>Detention Area :</t>
  </si>
  <si>
    <t>Detained water surface elevation =</t>
  </si>
  <si>
    <t>44.50 ft</t>
  </si>
  <si>
    <t>Storage detention required =</t>
  </si>
  <si>
    <t>8,370 c.f.</t>
  </si>
  <si>
    <t>The existing drive on the East side of the property used by businesses that are North of this project will not be used to detain water during a storm event.</t>
  </si>
  <si>
    <t>All detained water will be stored in the parking areas that are located to the North, West and South of the new building.</t>
  </si>
  <si>
    <t>Five sections of the North parking area were averaged and multiplied by the length between those sections.  The North parking area will store =</t>
  </si>
  <si>
    <t>Avg area with sections=</t>
  </si>
  <si>
    <t>s.f.    x</t>
  </si>
  <si>
    <t>ft   =</t>
  </si>
  <si>
    <t>cu. ft. of water above the catch basins</t>
  </si>
  <si>
    <t>Four sections of the West parking area were averaged and multiplied by the length between those sections.  The West parking area will store =</t>
  </si>
  <si>
    <t>Four sections of the South parking area were averaged and multiplied by the length between those sections.  The South parking area will store =</t>
  </si>
  <si>
    <t>There will be 9 catch basins in detention area.  The   9 catch basins will detain :</t>
  </si>
  <si>
    <t>Avg depth of water in catch basin =</t>
  </si>
  <si>
    <t>ft         x</t>
  </si>
  <si>
    <t>s.f.       x</t>
  </si>
  <si>
    <t>There will be 450 linear feet of 12" round PVC pipe between the catch basins.  The PVC pipes will detain @ 85% capacity :</t>
  </si>
  <si>
    <t>12" round pipe =</t>
  </si>
  <si>
    <t>l.f. pipe  x</t>
  </si>
  <si>
    <t>cu. ft. of water inside the pipe</t>
  </si>
  <si>
    <t xml:space="preserve">Total detention provided = </t>
  </si>
  <si>
    <t>c.f of water which exceeds the detention required.</t>
  </si>
  <si>
    <t>Discharge End Area Calculations</t>
  </si>
  <si>
    <t>Q=cA(2gh)^1/2</t>
  </si>
  <si>
    <t>s.f.   x</t>
  </si>
  <si>
    <t>lf of pipe =</t>
  </si>
  <si>
    <t>c.f.  Detention</t>
  </si>
  <si>
    <t>x 2 sets =</t>
  </si>
  <si>
    <t>Allowable Run Off, Q</t>
  </si>
  <si>
    <t>CFS</t>
  </si>
  <si>
    <t>per pipe</t>
  </si>
  <si>
    <t>Friction Factor, c</t>
  </si>
  <si>
    <t>c.f. required detention</t>
  </si>
  <si>
    <t>Acceleration, g</t>
  </si>
  <si>
    <t>ft/ft/sec</t>
  </si>
  <si>
    <t>12" PVC pipe</t>
  </si>
  <si>
    <t>c.f. detention</t>
  </si>
  <si>
    <t>Height above Invert, H ft</t>
  </si>
  <si>
    <t xml:space="preserve">ft </t>
  </si>
  <si>
    <t>8 CB</t>
  </si>
  <si>
    <t>End Area, Sq ft</t>
  </si>
  <si>
    <t>North Parking Lot =</t>
  </si>
  <si>
    <t>NorthWest Parking =</t>
  </si>
  <si>
    <t>Square Inches</t>
  </si>
  <si>
    <t>"</t>
  </si>
  <si>
    <t>West Parking Lot =</t>
  </si>
  <si>
    <t>Diameter, Inches</t>
  </si>
  <si>
    <t>SouthWest Parking =</t>
  </si>
  <si>
    <t>South Parking Lot =</t>
  </si>
  <si>
    <t>Use 7.63" Diameter Oriface Plate in Terminal CB</t>
  </si>
  <si>
    <t>c.f. still required detention</t>
  </si>
  <si>
    <t>Detention Pond  =</t>
  </si>
  <si>
    <t>c.f. of detention</t>
  </si>
  <si>
    <t>18" round pipe =</t>
  </si>
  <si>
    <t>s.f.  x</t>
  </si>
  <si>
    <t>Time (Hours)</t>
  </si>
  <si>
    <t>Post Dev Into Pond (10 Year Storm)</t>
  </si>
  <si>
    <t>Post Dev Out of Pond (10 Year Storm)</t>
  </si>
  <si>
    <t>Pre Dev (10 Year Storm)</t>
  </si>
  <si>
    <t>100 Year Frequency</t>
  </si>
  <si>
    <t xml:space="preserve">Q100 Flow, cfs </t>
  </si>
  <si>
    <t>Q100 Predev Flow</t>
  </si>
  <si>
    <t>Q100 Postdev Flow</t>
  </si>
  <si>
    <t>Q100 Allowable Flow- Undeveloped Flow =</t>
  </si>
  <si>
    <t>Storage Requirements</t>
  </si>
  <si>
    <t>Drainage Calculations - Modified Rational Method, LaDOTD Hydraulics Manual</t>
  </si>
  <si>
    <t>25 Year Frequency</t>
  </si>
  <si>
    <t>La DOTD Hydraulics Manual Excerpt</t>
  </si>
  <si>
    <t>Return Period</t>
  </si>
  <si>
    <t xml:space="preserve">Region I </t>
  </si>
  <si>
    <t>Region 3</t>
  </si>
  <si>
    <t>Region 2</t>
  </si>
  <si>
    <t>2 Year</t>
  </si>
  <si>
    <t>5 Year</t>
  </si>
  <si>
    <t>10 Year</t>
  </si>
  <si>
    <t>25 Year</t>
  </si>
  <si>
    <t>50 Year</t>
  </si>
  <si>
    <t>100 Year</t>
  </si>
  <si>
    <t xml:space="preserve">Q25 Flow, cfs </t>
  </si>
  <si>
    <t>Q25 Predev Flow</t>
  </si>
  <si>
    <t>Q25 Postdev Flow</t>
  </si>
  <si>
    <t>JG Marine Shop</t>
  </si>
  <si>
    <t>Slidell, La</t>
  </si>
  <si>
    <t>Q25 Allowable Flow w/10% Reduction =</t>
  </si>
  <si>
    <t>cfs / 10% reduction =</t>
  </si>
  <si>
    <t>Storage Requirements for a 25 Year Frequency Storm Event</t>
  </si>
  <si>
    <t>s.f.</t>
  </si>
  <si>
    <t>inches</t>
  </si>
  <si>
    <t>End Area</t>
  </si>
  <si>
    <t>ft</t>
  </si>
  <si>
    <t>If we want to use smaller sized pipes then take the end area and divide by 3</t>
  </si>
  <si>
    <t>Use (3) three 8" outfall pipes</t>
  </si>
  <si>
    <t>6.17 ft</t>
  </si>
  <si>
    <t xml:space="preserve">Section B on Sheet C102 has been measured at </t>
  </si>
  <si>
    <t>The detention area has an effective cross section equal to</t>
  </si>
  <si>
    <t>A</t>
  </si>
  <si>
    <t>3,213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</si>
</sst>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0.0000"/>
    <numFmt numFmtId="166" formatCode="0.0"/>
    <numFmt numFmtId="167" formatCode="0.000"/>
    <numFmt numFmtId="168" formatCode="#,##0.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ill="0" applyBorder="0" applyAlignment="0" applyProtection="0"/>
  </cellStyleXfs>
  <cellXfs count="16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5" xfId="0" applyFont="1" applyFill="1" applyBorder="1"/>
    <xf numFmtId="0" fontId="0" fillId="0" borderId="4" xfId="0" applyFont="1" applyBorder="1" applyAlignment="1">
      <alignment horizontal="center"/>
    </xf>
    <xf numFmtId="3" fontId="0" fillId="0" borderId="4" xfId="0" applyNumberFormat="1" applyBorder="1"/>
    <xf numFmtId="2" fontId="0" fillId="0" borderId="4" xfId="0" applyNumberFormat="1" applyBorder="1"/>
    <xf numFmtId="164" fontId="0" fillId="0" borderId="4" xfId="1" applyNumberFormat="1" applyFont="1" applyFill="1" applyBorder="1" applyAlignment="1" applyProtection="1"/>
    <xf numFmtId="165" fontId="0" fillId="0" borderId="4" xfId="0" applyNumberFormat="1" applyBorder="1"/>
    <xf numFmtId="166" fontId="0" fillId="0" borderId="4" xfId="0" applyNumberFormat="1" applyBorder="1"/>
    <xf numFmtId="166" fontId="0" fillId="0" borderId="0" xfId="0" applyNumberFormat="1"/>
    <xf numFmtId="0" fontId="0" fillId="0" borderId="4" xfId="0" applyFont="1" applyBorder="1" applyAlignment="1">
      <alignment horizontal="left"/>
    </xf>
    <xf numFmtId="167" fontId="0" fillId="0" borderId="4" xfId="0" applyNumberFormat="1" applyBorder="1"/>
    <xf numFmtId="0" fontId="0" fillId="0" borderId="6" xfId="0" applyBorder="1"/>
    <xf numFmtId="0" fontId="4" fillId="0" borderId="1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0" fillId="0" borderId="0" xfId="0" applyBorder="1"/>
    <xf numFmtId="0" fontId="4" fillId="0" borderId="0" xfId="0" applyFont="1" applyBorder="1"/>
    <xf numFmtId="2" fontId="4" fillId="0" borderId="0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0" xfId="0" applyFont="1" applyBorder="1"/>
    <xf numFmtId="2" fontId="0" fillId="0" borderId="0" xfId="0" applyNumberFormat="1"/>
    <xf numFmtId="0" fontId="3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67" fontId="0" fillId="0" borderId="7" xfId="0" applyNumberFormat="1" applyBorder="1"/>
    <xf numFmtId="3" fontId="0" fillId="0" borderId="8" xfId="0" applyNumberFormat="1" applyBorder="1"/>
    <xf numFmtId="0" fontId="0" fillId="2" borderId="4" xfId="0" applyFill="1" applyBorder="1" applyAlignment="1">
      <alignment horizontal="right"/>
    </xf>
    <xf numFmtId="0" fontId="0" fillId="2" borderId="4" xfId="0" applyFont="1" applyFill="1" applyBorder="1"/>
    <xf numFmtId="2" fontId="0" fillId="2" borderId="4" xfId="0" applyNumberFormat="1" applyFill="1" applyBorder="1"/>
    <xf numFmtId="2" fontId="0" fillId="2" borderId="9" xfId="0" applyNumberFormat="1" applyFill="1" applyBorder="1"/>
    <xf numFmtId="3" fontId="0" fillId="2" borderId="4" xfId="0" applyNumberFormat="1" applyFill="1" applyBorder="1"/>
    <xf numFmtId="167" fontId="0" fillId="3" borderId="7" xfId="0" applyNumberFormat="1" applyFill="1" applyBorder="1"/>
    <xf numFmtId="3" fontId="0" fillId="0" borderId="10" xfId="0" applyNumberForma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2" fontId="0" fillId="0" borderId="0" xfId="0" applyNumberFormat="1" applyBorder="1"/>
    <xf numFmtId="3" fontId="0" fillId="0" borderId="0" xfId="0" applyNumberFormat="1" applyBorder="1"/>
    <xf numFmtId="0" fontId="0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0" fillId="0" borderId="13" xfId="0" applyBorder="1"/>
    <xf numFmtId="3" fontId="3" fillId="0" borderId="6" xfId="0" applyNumberFormat="1" applyFont="1" applyBorder="1"/>
    <xf numFmtId="0" fontId="3" fillId="0" borderId="6" xfId="0" applyFont="1" applyBorder="1"/>
    <xf numFmtId="0" fontId="0" fillId="0" borderId="14" xfId="0" applyBorder="1"/>
    <xf numFmtId="3" fontId="3" fillId="0" borderId="0" xfId="0" applyNumberFormat="1" applyFont="1" applyBorder="1"/>
    <xf numFmtId="0" fontId="4" fillId="0" borderId="13" xfId="0" applyFont="1" applyBorder="1"/>
    <xf numFmtId="3" fontId="0" fillId="0" borderId="0" xfId="0" applyNumberFormat="1"/>
    <xf numFmtId="0" fontId="3" fillId="0" borderId="13" xfId="0" applyFont="1" applyBorder="1"/>
    <xf numFmtId="0" fontId="4" fillId="0" borderId="6" xfId="0" applyFont="1" applyBorder="1"/>
    <xf numFmtId="0" fontId="3" fillId="0" borderId="14" xfId="0" applyFont="1" applyBorder="1"/>
    <xf numFmtId="1" fontId="0" fillId="0" borderId="0" xfId="0" applyNumberFormat="1"/>
    <xf numFmtId="3" fontId="4" fillId="0" borderId="0" xfId="0" applyNumberFormat="1" applyFont="1" applyBorder="1" applyAlignment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0" fillId="0" borderId="0" xfId="0" applyFill="1"/>
    <xf numFmtId="2" fontId="3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168" fontId="0" fillId="0" borderId="0" xfId="0" applyNumberFormat="1"/>
    <xf numFmtId="0" fontId="0" fillId="0" borderId="8" xfId="0" applyBorder="1"/>
    <xf numFmtId="0" fontId="0" fillId="0" borderId="9" xfId="0" applyBorder="1"/>
    <xf numFmtId="0" fontId="4" fillId="0" borderId="15" xfId="0" applyFont="1" applyBorder="1"/>
    <xf numFmtId="2" fontId="4" fillId="0" borderId="16" xfId="0" applyNumberFormat="1" applyFont="1" applyBorder="1"/>
    <xf numFmtId="0" fontId="4" fillId="0" borderId="17" xfId="0" applyFont="1" applyBorder="1"/>
    <xf numFmtId="0" fontId="0" fillId="0" borderId="18" xfId="0" applyBorder="1"/>
    <xf numFmtId="0" fontId="1" fillId="0" borderId="19" xfId="0" applyFont="1" applyBorder="1"/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2" fillId="0" borderId="19" xfId="0" applyFont="1" applyBorder="1"/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2" fontId="0" fillId="0" borderId="7" xfId="0" applyNumberFormat="1" applyBorder="1"/>
    <xf numFmtId="3" fontId="0" fillId="0" borderId="7" xfId="0" applyNumberFormat="1" applyBorder="1"/>
    <xf numFmtId="0" fontId="0" fillId="0" borderId="7" xfId="0" applyFont="1" applyBorder="1"/>
    <xf numFmtId="0" fontId="0" fillId="2" borderId="7" xfId="0" applyFill="1" applyBorder="1" applyAlignment="1">
      <alignment horizontal="right"/>
    </xf>
    <xf numFmtId="0" fontId="0" fillId="2" borderId="7" xfId="0" applyFont="1" applyFill="1" applyBorder="1"/>
    <xf numFmtId="2" fontId="0" fillId="2" borderId="7" xfId="0" applyNumberFormat="1" applyFill="1" applyBorder="1"/>
    <xf numFmtId="3" fontId="0" fillId="2" borderId="7" xfId="0" applyNumberFormat="1" applyFill="1" applyBorder="1"/>
    <xf numFmtId="0" fontId="2" fillId="0" borderId="0" xfId="0" applyFont="1"/>
    <xf numFmtId="167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3" fontId="0" fillId="4" borderId="4" xfId="0" applyNumberFormat="1" applyFill="1" applyBorder="1"/>
    <xf numFmtId="0" fontId="0" fillId="4" borderId="4" xfId="0" applyFont="1" applyFill="1" applyBorder="1"/>
    <xf numFmtId="0" fontId="0" fillId="0" borderId="23" xfId="0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3" fillId="0" borderId="27" xfId="0" applyFont="1" applyBorder="1"/>
    <xf numFmtId="0" fontId="0" fillId="0" borderId="28" xfId="0" applyBorder="1"/>
    <xf numFmtId="0" fontId="3" fillId="0" borderId="29" xfId="0" applyFont="1" applyBorder="1" applyAlignment="1">
      <alignment horizontal="center"/>
    </xf>
    <xf numFmtId="167" fontId="0" fillId="0" borderId="29" xfId="0" applyNumberForma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7" fontId="0" fillId="0" borderId="31" xfId="0" applyNumberFormat="1" applyBorder="1"/>
    <xf numFmtId="167" fontId="0" fillId="0" borderId="32" xfId="0" applyNumberFormat="1" applyBorder="1"/>
    <xf numFmtId="167" fontId="0" fillId="0" borderId="33" xfId="0" applyNumberFormat="1" applyBorder="1"/>
    <xf numFmtId="167" fontId="0" fillId="0" borderId="34" xfId="0" applyNumberFormat="1" applyBorder="1"/>
    <xf numFmtId="167" fontId="0" fillId="0" borderId="35" xfId="0" applyNumberFormat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4" fillId="0" borderId="26" xfId="0" applyFont="1" applyBorder="1"/>
    <xf numFmtId="2" fontId="4" fillId="0" borderId="27" xfId="0" applyNumberFormat="1" applyFont="1" applyBorder="1"/>
    <xf numFmtId="0" fontId="4" fillId="0" borderId="38" xfId="0" applyFont="1" applyBorder="1"/>
    <xf numFmtId="0" fontId="0" fillId="0" borderId="27" xfId="0" applyBorder="1"/>
    <xf numFmtId="2" fontId="4" fillId="0" borderId="28" xfId="0" applyNumberFormat="1" applyFont="1" applyBorder="1"/>
    <xf numFmtId="0" fontId="3" fillId="0" borderId="39" xfId="0" applyFont="1" applyBorder="1" applyAlignment="1">
      <alignment wrapText="1"/>
    </xf>
    <xf numFmtId="0" fontId="0" fillId="0" borderId="24" xfId="0" applyBorder="1"/>
    <xf numFmtId="0" fontId="4" fillId="0" borderId="40" xfId="0" applyFont="1" applyBorder="1"/>
    <xf numFmtId="0" fontId="3" fillId="0" borderId="41" xfId="0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0" fillId="0" borderId="40" xfId="0" applyBorder="1"/>
    <xf numFmtId="1" fontId="0" fillId="0" borderId="0" xfId="0" applyNumberFormat="1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4" fillId="0" borderId="44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0" fillId="0" borderId="4" xfId="0" applyFill="1" applyBorder="1" applyAlignment="1">
      <alignment horizontal="right"/>
    </xf>
    <xf numFmtId="0" fontId="0" fillId="0" borderId="4" xfId="0" applyFont="1" applyFill="1" applyBorder="1"/>
    <xf numFmtId="2" fontId="0" fillId="0" borderId="4" xfId="0" applyNumberFormat="1" applyFill="1" applyBorder="1"/>
    <xf numFmtId="2" fontId="0" fillId="0" borderId="9" xfId="0" applyNumberFormat="1" applyFill="1" applyBorder="1"/>
    <xf numFmtId="3" fontId="0" fillId="0" borderId="4" xfId="0" applyNumberFormat="1" applyFill="1" applyBorder="1"/>
    <xf numFmtId="167" fontId="0" fillId="0" borderId="7" xfId="0" applyNumberFormat="1" applyFill="1" applyBorder="1"/>
    <xf numFmtId="0" fontId="0" fillId="5" borderId="4" xfId="0" applyFont="1" applyFill="1" applyBorder="1" applyAlignment="1">
      <alignment horizontal="right"/>
    </xf>
    <xf numFmtId="0" fontId="0" fillId="5" borderId="4" xfId="0" applyFont="1" applyFill="1" applyBorder="1"/>
    <xf numFmtId="2" fontId="0" fillId="5" borderId="4" xfId="0" applyNumberFormat="1" applyFill="1" applyBorder="1"/>
    <xf numFmtId="3" fontId="0" fillId="5" borderId="10" xfId="0" applyNumberFormat="1" applyFill="1" applyBorder="1"/>
    <xf numFmtId="167" fontId="0" fillId="5" borderId="7" xfId="0" applyNumberForma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22" xfId="0" applyFont="1" applyBorder="1" applyAlignment="1"/>
    <xf numFmtId="0" fontId="3" fillId="0" borderId="6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wrapText="1"/>
    </xf>
    <xf numFmtId="0" fontId="3" fillId="0" borderId="31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39" xfId="0" applyFont="1" applyBorder="1" applyAlignment="1">
      <alignment horizontal="left" wrapText="1"/>
    </xf>
    <xf numFmtId="0" fontId="3" fillId="0" borderId="40" xfId="0" applyFont="1" applyBorder="1"/>
    <xf numFmtId="0" fontId="3" fillId="0" borderId="41" xfId="0" applyFont="1" applyBorder="1"/>
    <xf numFmtId="0" fontId="3" fillId="0" borderId="0" xfId="0" applyFont="1" applyBorder="1" applyAlignment="1"/>
    <xf numFmtId="0" fontId="4" fillId="0" borderId="0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10 Year Storm</a:t>
            </a:r>
          </a:p>
        </c:rich>
      </c:tx>
      <c:layout>
        <c:manualLayout>
          <c:xMode val="edge"/>
          <c:yMode val="edge"/>
          <c:x val="0.27015319163535934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6709012019597259"/>
          <c:w val="0.74945693222556731"/>
          <c:h val="0.3459929868513764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'10 Year'!$A$92:$A$102</c:f>
              <c:numCache>
                <c:formatCode>General</c:formatCode>
                <c:ptCount val="11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</c:numCache>
            </c:numRef>
          </c:cat>
          <c:val>
            <c:numRef>
              <c:f>'10 Year'!$E$92:$E$102</c:f>
              <c:numCache>
                <c:formatCode>#,##0</c:formatCode>
                <c:ptCount val="11"/>
                <c:pt idx="0">
                  <c:v>234.3221394728389</c:v>
                </c:pt>
                <c:pt idx="1">
                  <c:v>1935.7354272612929</c:v>
                </c:pt>
                <c:pt idx="2">
                  <c:v>2531.9133889860186</c:v>
                </c:pt>
                <c:pt idx="3">
                  <c:v>2521.8203698946454</c:v>
                </c:pt>
                <c:pt idx="4">
                  <c:v>2137.0862049106127</c:v>
                </c:pt>
                <c:pt idx="5">
                  <c:v>1501.4894026338334</c:v>
                </c:pt>
                <c:pt idx="6">
                  <c:v>687.90135428946814</c:v>
                </c:pt>
                <c:pt idx="7">
                  <c:v>-257.61993437189449</c:v>
                </c:pt>
                <c:pt idx="8">
                  <c:v>-1304.3365363523262</c:v>
                </c:pt>
                <c:pt idx="9">
                  <c:v>-2430.8326064101675</c:v>
                </c:pt>
                <c:pt idx="10">
                  <c:v>-3621.6569763748812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4-4123-A16C-C874F2FA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64008"/>
        <c:axId val="1"/>
      </c:lineChart>
      <c:catAx>
        <c:axId val="457064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4388540040089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0928447235234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6400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25 Year Storm</a:t>
            </a:r>
          </a:p>
        </c:rich>
      </c:tx>
      <c:layout>
        <c:manualLayout>
          <c:xMode val="edge"/>
          <c:yMode val="edge"/>
          <c:x val="0.27015319163535934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6709012019597259"/>
          <c:w val="0.74945693222556731"/>
          <c:h val="0.3459929868513764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'25 Year'!$A$71:$A$81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cat>
          <c:val>
            <c:numRef>
              <c:f>'25 Year'!$E$71:$E$81</c:f>
              <c:numCache>
                <c:formatCode>#,##0</c:formatCode>
                <c:ptCount val="11"/>
                <c:pt idx="0">
                  <c:v>1388.8681153359848</c:v>
                </c:pt>
                <c:pt idx="1">
                  <c:v>2716.9319311637246</c:v>
                </c:pt>
                <c:pt idx="2">
                  <c:v>3626.4406308175703</c:v>
                </c:pt>
                <c:pt idx="3">
                  <c:v>4240.2901197244091</c:v>
                </c:pt>
                <c:pt idx="4">
                  <c:v>4636.0828359658444</c:v>
                </c:pt>
                <c:pt idx="5">
                  <c:v>4865.5089752971853</c:v>
                </c:pt>
                <c:pt idx="6">
                  <c:v>4964.4897865480034</c:v>
                </c:pt>
                <c:pt idx="7">
                  <c:v>4958.8640800474222</c:v>
                </c:pt>
                <c:pt idx="8">
                  <c:v>4867.7577427635169</c:v>
                </c:pt>
                <c:pt idx="9">
                  <c:v>4705.6735432019286</c:v>
                </c:pt>
                <c:pt idx="10">
                  <c:v>4483.8378212373791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1B7-90D5-5FFDD197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79016"/>
        <c:axId val="1"/>
      </c:lineChart>
      <c:catAx>
        <c:axId val="45707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4388540040089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0928447235234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790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 Volume, Cubic Feet
100 Year Storm</a:t>
            </a:r>
          </a:p>
        </c:rich>
      </c:tx>
      <c:layout>
        <c:manualLayout>
          <c:xMode val="edge"/>
          <c:yMode val="edge"/>
          <c:x val="0.27015319163535934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0019467463804"/>
          <c:y val="0.34645669291338582"/>
          <c:w val="0.74945693222556731"/>
          <c:h val="0.3858267716535432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cat>
            <c:numRef>
              <c:f>'100 Year'!$A$105:$A$115</c:f>
              <c:numCache>
                <c:formatCode>General</c:formatCode>
                <c:ptCount val="11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75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110</c:v>
                </c:pt>
              </c:numCache>
            </c:numRef>
          </c:cat>
          <c:val>
            <c:numRef>
              <c:f>'100 Year'!$E$105:$E$115</c:f>
              <c:numCache>
                <c:formatCode>#,##0</c:formatCode>
                <c:ptCount val="11"/>
                <c:pt idx="0">
                  <c:v>8004.8029340313697</c:v>
                </c:pt>
                <c:pt idx="1">
                  <c:v>9927.1078113523508</c:v>
                </c:pt>
                <c:pt idx="2">
                  <c:v>11094.336108182004</c:v>
                </c:pt>
                <c:pt idx="3">
                  <c:v>11786.260997032801</c:v>
                </c:pt>
                <c:pt idx="4">
                  <c:v>12154.286623451631</c:v>
                </c:pt>
                <c:pt idx="5">
                  <c:v>12287.169989093834</c:v>
                </c:pt>
                <c:pt idx="6">
                  <c:v>12247.23390661671</c:v>
                </c:pt>
                <c:pt idx="7">
                  <c:v>12068.943230532379</c:v>
                </c:pt>
                <c:pt idx="8">
                  <c:v>11781.313568178473</c:v>
                </c:pt>
                <c:pt idx="9">
                  <c:v>11404.402666344024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BF7-91ED-1A8C7A17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057776"/>
        <c:axId val="1"/>
      </c:lineChart>
      <c:catAx>
        <c:axId val="45705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1851966216641221"/>
              <c:y val="0.854330708661417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Feet</a:t>
                </a:r>
              </a:p>
            </c:rich>
          </c:tx>
          <c:layout>
            <c:manualLayout>
              <c:xMode val="edge"/>
              <c:yMode val="edge"/>
              <c:x val="3.4858387799564274E-2"/>
              <c:y val="0.417322834645669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057776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14</xdr:col>
      <xdr:colOff>238125</xdr:colOff>
      <xdr:row>44</xdr:row>
      <xdr:rowOff>57150</xdr:rowOff>
    </xdr:to>
    <xdr:pic>
      <xdr:nvPicPr>
        <xdr:cNvPr id="18451" name="Picture 1">
          <a:extLst>
            <a:ext uri="{FF2B5EF4-FFF2-40B4-BE49-F238E27FC236}">
              <a16:creationId xmlns:a16="http://schemas.microsoft.com/office/drawing/2014/main" id="{788735FA-DC2D-472B-8D4B-08A4BFF5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238875" cy="741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438150</xdr:colOff>
      <xdr:row>5</xdr:row>
      <xdr:rowOff>66675</xdr:rowOff>
    </xdr:from>
    <xdr:to>
      <xdr:col>21</xdr:col>
      <xdr:colOff>381000</xdr:colOff>
      <xdr:row>38</xdr:row>
      <xdr:rowOff>28575</xdr:rowOff>
    </xdr:to>
    <xdr:pic>
      <xdr:nvPicPr>
        <xdr:cNvPr id="18452" name="Picture 3">
          <a:extLst>
            <a:ext uri="{FF2B5EF4-FFF2-40B4-BE49-F238E27FC236}">
              <a16:creationId xmlns:a16="http://schemas.microsoft.com/office/drawing/2014/main" id="{2FC6C222-CBB5-4B8F-BFA0-83346F2D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019175"/>
          <a:ext cx="4210050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</xdr:row>
      <xdr:rowOff>9525</xdr:rowOff>
    </xdr:from>
    <xdr:to>
      <xdr:col>29</xdr:col>
      <xdr:colOff>85725</xdr:colOff>
      <xdr:row>37</xdr:row>
      <xdr:rowOff>133350</xdr:rowOff>
    </xdr:to>
    <xdr:pic>
      <xdr:nvPicPr>
        <xdr:cNvPr id="18453" name="Picture 4">
          <a:extLst>
            <a:ext uri="{FF2B5EF4-FFF2-40B4-BE49-F238E27FC236}">
              <a16:creationId xmlns:a16="http://schemas.microsoft.com/office/drawing/2014/main" id="{91DFA530-BA4F-45DA-A297-DF1586D2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962025"/>
          <a:ext cx="4352925" cy="616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</xdr:colOff>
      <xdr:row>5</xdr:row>
      <xdr:rowOff>9525</xdr:rowOff>
    </xdr:from>
    <xdr:to>
      <xdr:col>36</xdr:col>
      <xdr:colOff>457200</xdr:colOff>
      <xdr:row>37</xdr:row>
      <xdr:rowOff>123825</xdr:rowOff>
    </xdr:to>
    <xdr:pic>
      <xdr:nvPicPr>
        <xdr:cNvPr id="18454" name="Picture 5">
          <a:extLst>
            <a:ext uri="{FF2B5EF4-FFF2-40B4-BE49-F238E27FC236}">
              <a16:creationId xmlns:a16="http://schemas.microsoft.com/office/drawing/2014/main" id="{EE93551A-551B-448C-9EC5-0E4A9EF9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962025"/>
          <a:ext cx="4105275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103</xdr:row>
      <xdr:rowOff>19050</xdr:rowOff>
    </xdr:from>
    <xdr:to>
      <xdr:col>5</xdr:col>
      <xdr:colOff>561975</xdr:colOff>
      <xdr:row>117</xdr:row>
      <xdr:rowOff>9525</xdr:rowOff>
    </xdr:to>
    <xdr:graphicFrame macro="">
      <xdr:nvGraphicFramePr>
        <xdr:cNvPr id="1034" name="Chart 1">
          <a:extLst>
            <a:ext uri="{FF2B5EF4-FFF2-40B4-BE49-F238E27FC236}">
              <a16:creationId xmlns:a16="http://schemas.microsoft.com/office/drawing/2014/main" id="{78F8CCE4-BEDC-4352-9CF2-7ED2692FF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82</xdr:row>
      <xdr:rowOff>9525</xdr:rowOff>
    </xdr:from>
    <xdr:to>
      <xdr:col>6</xdr:col>
      <xdr:colOff>0</xdr:colOff>
      <xdr:row>96</xdr:row>
      <xdr:rowOff>0</xdr:rowOff>
    </xdr:to>
    <xdr:graphicFrame macro="">
      <xdr:nvGraphicFramePr>
        <xdr:cNvPr id="8201" name="Chart 1">
          <a:extLst>
            <a:ext uri="{FF2B5EF4-FFF2-40B4-BE49-F238E27FC236}">
              <a16:creationId xmlns:a16="http://schemas.microsoft.com/office/drawing/2014/main" id="{D46CA0C4-0FF3-4CB6-BADB-8F06FC51A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116</xdr:row>
      <xdr:rowOff>152400</xdr:rowOff>
    </xdr:from>
    <xdr:to>
      <xdr:col>5</xdr:col>
      <xdr:colOff>561975</xdr:colOff>
      <xdr:row>131</xdr:row>
      <xdr:rowOff>142875</xdr:rowOff>
    </xdr:to>
    <xdr:graphicFrame macro="">
      <xdr:nvGraphicFramePr>
        <xdr:cNvPr id="2058" name="Chart 1">
          <a:extLst>
            <a:ext uri="{FF2B5EF4-FFF2-40B4-BE49-F238E27FC236}">
              <a16:creationId xmlns:a16="http://schemas.microsoft.com/office/drawing/2014/main" id="{D21682C8-B2AF-450C-83FD-405873665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31" workbookViewId="0">
      <selection activeCell="C53" sqref="C53"/>
    </sheetView>
  </sheetViews>
  <sheetFormatPr defaultRowHeight="12.75" x14ac:dyDescent="0.2"/>
  <cols>
    <col min="2" max="2" width="2.85546875" customWidth="1"/>
    <col min="3" max="3" width="6.28515625" customWidth="1"/>
    <col min="4" max="4" width="7.7109375" customWidth="1"/>
    <col min="5" max="5" width="6.85546875" customWidth="1"/>
    <col min="6" max="6" width="2.42578125" customWidth="1"/>
    <col min="7" max="7" width="6.5703125" customWidth="1"/>
    <col min="8" max="8" width="8.28515625" customWidth="1"/>
    <col min="9" max="9" width="6.85546875" customWidth="1"/>
    <col min="10" max="10" width="2.5703125" customWidth="1"/>
    <col min="11" max="11" width="6.7109375" customWidth="1"/>
    <col min="12" max="12" width="8.28515625" customWidth="1"/>
    <col min="13" max="13" width="8.140625" customWidth="1"/>
    <col min="14" max="14" width="7.28515625" customWidth="1"/>
  </cols>
  <sheetData>
    <row r="1" spans="1:11" ht="15" x14ac:dyDescent="0.2">
      <c r="A1" s="93" t="s">
        <v>117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1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15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15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1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1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15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5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ht="15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ht="15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 ht="15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15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1" ht="15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ht="15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ht="15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3" ht="15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3" ht="15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3" ht="15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47" spans="1:13" ht="13.5" thickBot="1" x14ac:dyDescent="0.25"/>
    <row r="48" spans="1:13" ht="26.25" thickBot="1" x14ac:dyDescent="0.25">
      <c r="A48" s="95" t="s">
        <v>118</v>
      </c>
      <c r="C48" s="99"/>
      <c r="D48" s="100" t="s">
        <v>119</v>
      </c>
      <c r="E48" s="101"/>
      <c r="G48" s="102"/>
      <c r="H48" s="103" t="s">
        <v>121</v>
      </c>
      <c r="I48" s="104"/>
      <c r="K48" s="102"/>
      <c r="L48" s="103" t="s">
        <v>120</v>
      </c>
      <c r="M48" s="104"/>
    </row>
    <row r="49" spans="1:13" x14ac:dyDescent="0.2">
      <c r="C49" s="108" t="s">
        <v>26</v>
      </c>
      <c r="D49" s="105" t="s">
        <v>27</v>
      </c>
      <c r="E49" s="109" t="s">
        <v>28</v>
      </c>
      <c r="F49" s="96"/>
      <c r="G49" s="115" t="s">
        <v>26</v>
      </c>
      <c r="H49" s="107" t="s">
        <v>27</v>
      </c>
      <c r="I49" s="116" t="s">
        <v>28</v>
      </c>
      <c r="J49" s="96"/>
      <c r="K49" s="115" t="s">
        <v>26</v>
      </c>
      <c r="L49" s="107" t="s">
        <v>27</v>
      </c>
      <c r="M49" s="116" t="s">
        <v>28</v>
      </c>
    </row>
    <row r="50" spans="1:13" x14ac:dyDescent="0.2">
      <c r="A50" s="6" t="s">
        <v>122</v>
      </c>
      <c r="C50" s="110">
        <v>2.8149999999999999</v>
      </c>
      <c r="D50" s="106">
        <v>0.28199999999999997</v>
      </c>
      <c r="E50" s="111">
        <v>-0.89900000000000002</v>
      </c>
      <c r="F50" s="94"/>
      <c r="G50" s="110">
        <v>2.375</v>
      </c>
      <c r="H50" s="106">
        <v>0.221</v>
      </c>
      <c r="I50" s="111">
        <v>-0.92200000000000004</v>
      </c>
      <c r="J50" s="94"/>
      <c r="K50" s="110">
        <v>2.1379999999999999</v>
      </c>
      <c r="L50" s="106">
        <v>0.192</v>
      </c>
      <c r="M50" s="111">
        <v>-0.89100000000000001</v>
      </c>
    </row>
    <row r="51" spans="1:13" x14ac:dyDescent="0.2">
      <c r="A51" s="6" t="s">
        <v>123</v>
      </c>
      <c r="C51" s="110">
        <v>3.536</v>
      </c>
      <c r="D51" s="106">
        <v>0.33</v>
      </c>
      <c r="E51" s="111">
        <v>-0.85099999999999998</v>
      </c>
      <c r="F51" s="94"/>
      <c r="G51" s="110">
        <v>2.976</v>
      </c>
      <c r="H51" s="106">
        <v>0.251</v>
      </c>
      <c r="I51" s="111">
        <v>-0.86499999999999999</v>
      </c>
      <c r="J51" s="94"/>
      <c r="K51" s="110">
        <v>2.7010000000000001</v>
      </c>
      <c r="L51" s="106">
        <v>0.22</v>
      </c>
      <c r="M51" s="111">
        <v>-0.84699999999999998</v>
      </c>
    </row>
    <row r="52" spans="1:13" x14ac:dyDescent="0.2">
      <c r="A52" s="6" t="s">
        <v>124</v>
      </c>
      <c r="C52" s="110">
        <v>4.016</v>
      </c>
      <c r="D52" s="106">
        <v>0.34699999999999998</v>
      </c>
      <c r="E52" s="111">
        <v>-0.82599999999999996</v>
      </c>
      <c r="F52" s="94"/>
      <c r="G52" s="110">
        <v>3.4470000000000001</v>
      </c>
      <c r="H52" s="106">
        <v>0.27700000000000002</v>
      </c>
      <c r="I52" s="111">
        <v>-0.83899999999999997</v>
      </c>
      <c r="J52" s="94"/>
      <c r="K52" s="110">
        <v>3.0859999999999999</v>
      </c>
      <c r="L52" s="106">
        <v>0.23100000000000001</v>
      </c>
      <c r="M52" s="111">
        <v>-0.82599999999999996</v>
      </c>
    </row>
    <row r="53" spans="1:13" x14ac:dyDescent="0.2">
      <c r="A53" s="6" t="s">
        <v>125</v>
      </c>
      <c r="C53" s="110">
        <v>4.6109999999999998</v>
      </c>
      <c r="D53" s="106">
        <v>0.34599999999999997</v>
      </c>
      <c r="E53" s="111">
        <v>-0.79800000000000004</v>
      </c>
      <c r="F53" s="94"/>
      <c r="G53" s="110">
        <v>4.0919999999999996</v>
      </c>
      <c r="H53" s="106">
        <v>0.29699999999999999</v>
      </c>
      <c r="I53" s="111">
        <v>-0.80800000000000005</v>
      </c>
      <c r="J53" s="94"/>
      <c r="K53" s="110">
        <v>3.5920000000000001</v>
      </c>
      <c r="L53" s="106">
        <v>0.23799999999999999</v>
      </c>
      <c r="M53" s="111">
        <v>-0.80900000000000005</v>
      </c>
    </row>
    <row r="54" spans="1:13" x14ac:dyDescent="0.2">
      <c r="A54" s="6" t="s">
        <v>126</v>
      </c>
      <c r="C54" s="110">
        <v>5.0970000000000004</v>
      </c>
      <c r="D54" s="106">
        <v>0.35099999999999998</v>
      </c>
      <c r="E54" s="111">
        <v>-0.78300000000000003</v>
      </c>
      <c r="F54" s="94"/>
      <c r="G54" s="110">
        <v>4.6399999999999997</v>
      </c>
      <c r="H54" s="106">
        <v>0.318</v>
      </c>
      <c r="I54" s="111">
        <v>-0.79100000000000004</v>
      </c>
      <c r="J54" s="94"/>
      <c r="K54" s="110">
        <v>3.9340000000000002</v>
      </c>
      <c r="L54" s="106">
        <v>0.22700000000000001</v>
      </c>
      <c r="M54" s="111">
        <v>-0.79400000000000004</v>
      </c>
    </row>
    <row r="55" spans="1:13" ht="13.5" thickBot="1" x14ac:dyDescent="0.25">
      <c r="A55" s="6" t="s">
        <v>127</v>
      </c>
      <c r="C55" s="112">
        <v>5.47</v>
      </c>
      <c r="D55" s="113">
        <v>0.33400000000000002</v>
      </c>
      <c r="E55" s="114">
        <v>-0.75900000000000001</v>
      </c>
      <c r="F55" s="94"/>
      <c r="G55" s="112">
        <v>5.1950000000000003</v>
      </c>
      <c r="H55" s="113">
        <v>0.33500000000000002</v>
      </c>
      <c r="I55" s="114">
        <v>-0.77100000000000002</v>
      </c>
      <c r="J55" s="94"/>
      <c r="K55" s="112">
        <v>4.2859999999999996</v>
      </c>
      <c r="L55" s="113">
        <v>0.223</v>
      </c>
      <c r="M55" s="114">
        <v>-0.78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8"/>
  <sheetViews>
    <sheetView topLeftCell="A10" workbookViewId="0">
      <selection activeCell="E53" sqref="E53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7" ht="15.75" x14ac:dyDescent="0.25">
      <c r="A1" s="1" t="s">
        <v>131</v>
      </c>
      <c r="B1" s="2"/>
      <c r="C1" s="2"/>
      <c r="D1" s="3"/>
      <c r="E1" s="3"/>
      <c r="F1" s="4"/>
    </row>
    <row r="2" spans="1:7" ht="15" x14ac:dyDescent="0.2">
      <c r="A2" s="154" t="s">
        <v>132</v>
      </c>
      <c r="B2" s="154"/>
      <c r="C2" s="154"/>
      <c r="D2" s="154"/>
      <c r="E2" s="154"/>
      <c r="F2" s="154"/>
    </row>
    <row r="4" spans="1:7" x14ac:dyDescent="0.2">
      <c r="A4" s="6" t="s">
        <v>3</v>
      </c>
    </row>
    <row r="5" spans="1:7" x14ac:dyDescent="0.2">
      <c r="A5" s="7" t="s">
        <v>4</v>
      </c>
      <c r="B5" s="7"/>
      <c r="C5" s="7"/>
    </row>
    <row r="6" spans="1:7" x14ac:dyDescent="0.2">
      <c r="A6" s="7" t="s">
        <v>5</v>
      </c>
      <c r="B6" s="7"/>
      <c r="C6" s="7"/>
    </row>
    <row r="8" spans="1:7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  <c r="G8" s="10" t="s">
        <v>10</v>
      </c>
    </row>
    <row r="9" spans="1:7" x14ac:dyDescent="0.2">
      <c r="A9" s="11" t="s">
        <v>11</v>
      </c>
      <c r="B9" s="8" t="s">
        <v>12</v>
      </c>
      <c r="C9" s="8"/>
      <c r="D9" s="8">
        <v>0.2</v>
      </c>
      <c r="E9" s="97">
        <v>92235</v>
      </c>
      <c r="F9" s="8">
        <f>+E9*D9</f>
        <v>18447</v>
      </c>
      <c r="G9">
        <f>E9*0.0000000358701</f>
        <v>3.3084786735000002E-3</v>
      </c>
    </row>
    <row r="10" spans="1:7" x14ac:dyDescent="0.2">
      <c r="A10" s="8"/>
      <c r="B10" s="8" t="s">
        <v>13</v>
      </c>
      <c r="C10" s="8"/>
      <c r="D10" s="8">
        <v>0.25</v>
      </c>
      <c r="E10" s="97">
        <v>24316</v>
      </c>
      <c r="F10" s="8">
        <f>+E10*D10</f>
        <v>6079</v>
      </c>
    </row>
    <row r="11" spans="1:7" x14ac:dyDescent="0.2">
      <c r="A11" s="8"/>
      <c r="B11" s="8" t="s">
        <v>14</v>
      </c>
      <c r="C11" s="8"/>
      <c r="D11" s="13">
        <v>0.95</v>
      </c>
      <c r="E11" s="97">
        <v>28976</v>
      </c>
      <c r="F11" s="8">
        <f>+E11*D11</f>
        <v>27527.199999999997</v>
      </c>
    </row>
    <row r="12" spans="1:7" x14ac:dyDescent="0.2">
      <c r="A12" s="8"/>
      <c r="B12" s="8"/>
      <c r="C12" s="8"/>
      <c r="D12" s="8"/>
      <c r="E12" s="12">
        <f>SUM(E9:E11)</f>
        <v>145527</v>
      </c>
      <c r="F12" s="8">
        <f>SUM(F9:F11)</f>
        <v>52053.2</v>
      </c>
    </row>
    <row r="13" spans="1:7" x14ac:dyDescent="0.2">
      <c r="A13" s="8"/>
      <c r="B13" s="8" t="s">
        <v>15</v>
      </c>
      <c r="C13" s="8"/>
      <c r="D13" s="13">
        <f>+F12/E12</f>
        <v>0.35768757687576874</v>
      </c>
      <c r="E13" s="8"/>
      <c r="F13" s="8"/>
    </row>
    <row r="14" spans="1:7" x14ac:dyDescent="0.2">
      <c r="A14" s="8"/>
      <c r="B14" s="8"/>
      <c r="C14" s="8"/>
      <c r="D14" s="8"/>
      <c r="E14" s="8"/>
      <c r="F14" s="8"/>
    </row>
    <row r="15" spans="1:7" x14ac:dyDescent="0.2">
      <c r="A15" s="11" t="s">
        <v>16</v>
      </c>
      <c r="B15" s="8" t="s">
        <v>17</v>
      </c>
      <c r="C15" s="8">
        <v>316</v>
      </c>
      <c r="D15" s="8" t="s">
        <v>18</v>
      </c>
      <c r="E15" s="8"/>
      <c r="F15" s="14"/>
    </row>
    <row r="16" spans="1:7" x14ac:dyDescent="0.2">
      <c r="A16" s="8"/>
      <c r="B16" s="8" t="s">
        <v>19</v>
      </c>
      <c r="C16" s="15">
        <f>+F16*100</f>
        <v>0.37974683544303794</v>
      </c>
      <c r="D16" s="8"/>
      <c r="E16" s="15"/>
      <c r="F16" s="8">
        <f>1.2/316</f>
        <v>3.7974683544303796E-3</v>
      </c>
    </row>
    <row r="17" spans="1:9" x14ac:dyDescent="0.2">
      <c r="A17" s="8"/>
      <c r="B17" s="8" t="s">
        <v>20</v>
      </c>
      <c r="C17" s="13">
        <f>+D13</f>
        <v>0.35768757687576874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26.004666746633085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9.5307577356051549</v>
      </c>
      <c r="D19" s="8">
        <f>+C17^-1.1309</f>
        <v>3.1984715242439323</v>
      </c>
      <c r="E19" s="8">
        <f>+C16^-0.1985</f>
        <v>1.211910110272429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8"/>
      <c r="B21" s="8" t="s">
        <v>24</v>
      </c>
      <c r="C21" s="8"/>
      <c r="D21" s="13">
        <f>+((C22+C24)^C25)*C23</f>
        <v>4.9287244499910994</v>
      </c>
      <c r="E21" s="8"/>
      <c r="F21" s="8"/>
    </row>
    <row r="22" spans="1:9" x14ac:dyDescent="0.2">
      <c r="A22" s="8"/>
      <c r="B22" s="9" t="s">
        <v>25</v>
      </c>
      <c r="C22" s="8">
        <f>+D18/60</f>
        <v>0.43341111244388475</v>
      </c>
      <c r="D22" s="8"/>
      <c r="E22" s="8"/>
      <c r="F22" s="8"/>
    </row>
    <row r="23" spans="1:9" x14ac:dyDescent="0.2">
      <c r="A23" s="8"/>
      <c r="B23" s="9" t="s">
        <v>26</v>
      </c>
      <c r="C23" s="98">
        <f>'La DOTD'!C52</f>
        <v>4.016</v>
      </c>
      <c r="D23" s="8"/>
      <c r="E23" s="8"/>
      <c r="F23" s="8"/>
    </row>
    <row r="24" spans="1:9" x14ac:dyDescent="0.2">
      <c r="A24" s="8"/>
      <c r="B24" s="9" t="s">
        <v>27</v>
      </c>
      <c r="C24" s="98">
        <f>'La DOTD'!D52</f>
        <v>0.34699999999999998</v>
      </c>
      <c r="D24" s="8"/>
      <c r="E24" s="8"/>
      <c r="F24" s="8"/>
    </row>
    <row r="25" spans="1:9" x14ac:dyDescent="0.2">
      <c r="A25" s="8"/>
      <c r="B25" s="9" t="s">
        <v>28</v>
      </c>
      <c r="C25" s="98">
        <f>'La DOTD'!E52</f>
        <v>-0.82599999999999996</v>
      </c>
      <c r="D25" s="8"/>
      <c r="E25" s="8"/>
      <c r="F25" s="8"/>
    </row>
    <row r="26" spans="1:9" x14ac:dyDescent="0.2">
      <c r="A26" s="8"/>
      <c r="B26" s="18" t="s">
        <v>29</v>
      </c>
      <c r="C26" s="19">
        <f>+E12/43560</f>
        <v>3.3408402203856751</v>
      </c>
      <c r="D26" s="8"/>
      <c r="E26" s="8"/>
      <c r="F26" s="8"/>
    </row>
    <row r="27" spans="1:9" x14ac:dyDescent="0.2">
      <c r="A27" s="8"/>
      <c r="B27" s="8" t="s">
        <v>30</v>
      </c>
      <c r="C27" s="8" t="s">
        <v>31</v>
      </c>
      <c r="D27" s="13">
        <f>+C26*D21*C17</f>
        <v>5.8897125697951491</v>
      </c>
      <c r="E27" s="8" t="s">
        <v>32</v>
      </c>
      <c r="F27" s="8"/>
    </row>
    <row r="30" spans="1:9" x14ac:dyDescent="0.2">
      <c r="A30" s="20"/>
      <c r="B30" s="21" t="s">
        <v>33</v>
      </c>
      <c r="C30" s="22">
        <f>+D27</f>
        <v>5.8897125697951491</v>
      </c>
      <c r="D30" s="23" t="s">
        <v>32</v>
      </c>
      <c r="E30" s="20"/>
      <c r="F30" s="20"/>
    </row>
    <row r="31" spans="1:9" x14ac:dyDescent="0.2">
      <c r="A31" s="24"/>
      <c r="B31" s="25"/>
      <c r="C31" s="26"/>
      <c r="D31" s="25"/>
      <c r="E31" s="24"/>
      <c r="F31" s="24"/>
    </row>
    <row r="32" spans="1:9" x14ac:dyDescent="0.2">
      <c r="A32" s="24"/>
      <c r="B32" s="25"/>
      <c r="C32" s="26"/>
      <c r="D32" s="25"/>
      <c r="E32" s="24"/>
      <c r="F32" s="24"/>
    </row>
    <row r="33" spans="1:6" x14ac:dyDescent="0.2">
      <c r="A33" s="24"/>
      <c r="B33" s="25"/>
      <c r="C33" s="26"/>
      <c r="D33" s="25"/>
      <c r="E33" s="24"/>
      <c r="F33" s="24"/>
    </row>
    <row r="34" spans="1:6" x14ac:dyDescent="0.2">
      <c r="A34" s="24"/>
      <c r="B34" s="25"/>
      <c r="C34" s="26"/>
      <c r="D34" s="25"/>
      <c r="E34" s="24"/>
      <c r="F34" s="24"/>
    </row>
    <row r="35" spans="1:6" x14ac:dyDescent="0.2">
      <c r="A35" s="24"/>
      <c r="B35" s="25"/>
      <c r="C35" s="26"/>
      <c r="D35" s="25"/>
      <c r="E35" s="24"/>
      <c r="F35" s="24"/>
    </row>
    <row r="36" spans="1:6" x14ac:dyDescent="0.2">
      <c r="A36" s="24"/>
      <c r="B36" s="25"/>
      <c r="C36" s="26"/>
      <c r="D36" s="25"/>
      <c r="E36" s="24"/>
      <c r="F36" s="24"/>
    </row>
    <row r="37" spans="1:6" x14ac:dyDescent="0.2">
      <c r="A37" s="24"/>
      <c r="B37" s="25"/>
      <c r="C37" s="26"/>
      <c r="D37" s="25"/>
      <c r="E37" s="24"/>
      <c r="F37" s="24"/>
    </row>
    <row r="38" spans="1:6" x14ac:dyDescent="0.2">
      <c r="A38" s="24"/>
      <c r="B38" s="25"/>
      <c r="C38" s="26"/>
      <c r="D38" s="25"/>
      <c r="E38" s="24"/>
      <c r="F38" s="24"/>
    </row>
    <row r="39" spans="1:6" x14ac:dyDescent="0.2">
      <c r="A39" s="24"/>
      <c r="B39" s="25"/>
      <c r="C39" s="26"/>
      <c r="D39" s="25"/>
      <c r="E39" s="24"/>
      <c r="F39" s="24"/>
    </row>
    <row r="40" spans="1:6" x14ac:dyDescent="0.2">
      <c r="A40" s="24"/>
      <c r="B40" s="25"/>
      <c r="C40" s="26"/>
      <c r="D40" s="25"/>
      <c r="E40" s="24"/>
      <c r="F40" s="24"/>
    </row>
    <row r="41" spans="1:6" x14ac:dyDescent="0.2">
      <c r="A41" s="24"/>
      <c r="B41" s="25"/>
      <c r="C41" s="26"/>
      <c r="D41" s="25"/>
      <c r="E41" s="24"/>
      <c r="F41" s="24"/>
    </row>
    <row r="42" spans="1:6" ht="15.75" x14ac:dyDescent="0.25">
      <c r="A42" s="1" t="str">
        <f>A1</f>
        <v>JG Marine Shop</v>
      </c>
      <c r="B42" s="2"/>
      <c r="C42" s="2"/>
      <c r="D42" s="3"/>
      <c r="E42" s="3"/>
      <c r="F42" s="4"/>
    </row>
    <row r="43" spans="1:6" ht="15" x14ac:dyDescent="0.2">
      <c r="A43" s="5" t="str">
        <f>A2</f>
        <v>Slidell, La</v>
      </c>
      <c r="B43" s="2"/>
      <c r="C43" s="2"/>
      <c r="D43" s="3"/>
      <c r="E43" s="3"/>
      <c r="F43" s="4"/>
    </row>
    <row r="45" spans="1:6" x14ac:dyDescent="0.2">
      <c r="A45" s="6" t="s">
        <v>3</v>
      </c>
    </row>
    <row r="46" spans="1:6" x14ac:dyDescent="0.2">
      <c r="A46" s="7" t="s">
        <v>34</v>
      </c>
      <c r="B46" s="7"/>
      <c r="C46" s="7"/>
    </row>
    <row r="47" spans="1:6" x14ac:dyDescent="0.2">
      <c r="A47" s="7" t="s">
        <v>5</v>
      </c>
      <c r="B47" s="7"/>
      <c r="C47" s="7"/>
    </row>
    <row r="49" spans="1:9" x14ac:dyDescent="0.2">
      <c r="A49" s="8" t="s">
        <v>6</v>
      </c>
      <c r="B49" s="8"/>
      <c r="C49" s="8"/>
      <c r="D49" s="9" t="s">
        <v>7</v>
      </c>
      <c r="E49" s="9" t="s">
        <v>8</v>
      </c>
      <c r="F49" s="8" t="s">
        <v>9</v>
      </c>
    </row>
    <row r="50" spans="1:9" x14ac:dyDescent="0.2">
      <c r="A50" s="11" t="s">
        <v>11</v>
      </c>
      <c r="B50" s="8" t="s">
        <v>12</v>
      </c>
      <c r="C50" s="8"/>
      <c r="D50" s="8">
        <v>0.2</v>
      </c>
      <c r="E50" s="97">
        <f>E12-E51-E52</f>
        <v>20202</v>
      </c>
      <c r="F50" s="13">
        <f>+E50*D50</f>
        <v>4040.4</v>
      </c>
    </row>
    <row r="51" spans="1:9" x14ac:dyDescent="0.2">
      <c r="A51" s="8"/>
      <c r="B51" s="8" t="s">
        <v>13</v>
      </c>
      <c r="C51" s="8"/>
      <c r="D51" s="8">
        <v>0.25</v>
      </c>
      <c r="E51" s="97">
        <v>87649</v>
      </c>
      <c r="F51" s="13">
        <f>+E51*D51</f>
        <v>21912.25</v>
      </c>
    </row>
    <row r="52" spans="1:9" x14ac:dyDescent="0.2">
      <c r="A52" s="8"/>
      <c r="B52" s="8" t="s">
        <v>14</v>
      </c>
      <c r="C52" s="8"/>
      <c r="D52" s="13">
        <v>0.95</v>
      </c>
      <c r="E52" s="97">
        <v>37676</v>
      </c>
      <c r="F52" s="13">
        <f>+E52*D52</f>
        <v>35792.199999999997</v>
      </c>
    </row>
    <row r="53" spans="1:9" x14ac:dyDescent="0.2">
      <c r="A53" s="8"/>
      <c r="B53" s="8"/>
      <c r="C53" s="8"/>
      <c r="D53" s="8"/>
      <c r="E53" s="97">
        <f>SUM(E50:E52)</f>
        <v>145527</v>
      </c>
      <c r="F53" s="13">
        <f>SUM(F50:F52)</f>
        <v>61744.85</v>
      </c>
    </row>
    <row r="54" spans="1:9" x14ac:dyDescent="0.2">
      <c r="A54" s="8"/>
      <c r="B54" s="8" t="s">
        <v>15</v>
      </c>
      <c r="C54" s="8"/>
      <c r="D54" s="19">
        <f>+F53/E53</f>
        <v>0.4242844970349145</v>
      </c>
      <c r="E54" s="8"/>
      <c r="F54" s="8"/>
    </row>
    <row r="55" spans="1:9" x14ac:dyDescent="0.2">
      <c r="A55" s="8"/>
      <c r="B55" s="8"/>
      <c r="C55" s="8"/>
      <c r="D55" s="8"/>
      <c r="E55" s="8"/>
      <c r="F55" s="8"/>
    </row>
    <row r="56" spans="1:9" x14ac:dyDescent="0.2">
      <c r="A56" s="11" t="s">
        <v>16</v>
      </c>
      <c r="B56" s="8" t="s">
        <v>17</v>
      </c>
      <c r="C56" s="8">
        <v>420</v>
      </c>
      <c r="D56" s="8" t="s">
        <v>18</v>
      </c>
      <c r="E56" s="8"/>
      <c r="F56" s="8"/>
    </row>
    <row r="57" spans="1:9" x14ac:dyDescent="0.2">
      <c r="A57" s="8"/>
      <c r="B57" s="8" t="s">
        <v>19</v>
      </c>
      <c r="C57" s="15">
        <v>0.56000000000000005</v>
      </c>
      <c r="D57" s="8"/>
      <c r="E57" s="15"/>
      <c r="F57" s="8">
        <f>1.95/348</f>
        <v>5.6034482758620689E-3</v>
      </c>
    </row>
    <row r="58" spans="1:9" x14ac:dyDescent="0.2">
      <c r="A58" s="8"/>
      <c r="B58" s="8" t="s">
        <v>20</v>
      </c>
      <c r="C58" s="19">
        <f>+D54</f>
        <v>0.4242844970349145</v>
      </c>
      <c r="D58" s="8"/>
      <c r="E58" s="8"/>
      <c r="F58" s="8"/>
    </row>
    <row r="59" spans="1:9" x14ac:dyDescent="0.2">
      <c r="A59" s="8"/>
      <c r="B59" s="8" t="s">
        <v>21</v>
      </c>
      <c r="C59" s="8" t="s">
        <v>22</v>
      </c>
      <c r="D59" s="16">
        <f>0.7039*C60*D60*E60</f>
        <v>22.187322849724264</v>
      </c>
      <c r="E59" s="8" t="s">
        <v>23</v>
      </c>
      <c r="F59" s="8"/>
      <c r="G59" s="17"/>
      <c r="H59" s="17"/>
      <c r="I59" s="17"/>
    </row>
    <row r="60" spans="1:9" x14ac:dyDescent="0.2">
      <c r="A60" s="8"/>
      <c r="B60" s="8"/>
      <c r="C60" s="8">
        <f>+C56^0.3917</f>
        <v>10.654344789395362</v>
      </c>
      <c r="D60" s="8">
        <f>+C58^-1.1309</f>
        <v>2.6368323244285881</v>
      </c>
      <c r="E60" s="8">
        <f>+C57^-0.1985</f>
        <v>1.1219788664395176</v>
      </c>
      <c r="F60" s="8"/>
    </row>
    <row r="61" spans="1:9" x14ac:dyDescent="0.2">
      <c r="A61" s="8"/>
      <c r="B61" s="8"/>
      <c r="C61" s="8"/>
      <c r="D61" s="8"/>
      <c r="E61" s="8"/>
      <c r="F61" s="8"/>
    </row>
    <row r="62" spans="1:9" x14ac:dyDescent="0.2">
      <c r="A62" s="8"/>
      <c r="B62" s="8" t="s">
        <v>24</v>
      </c>
      <c r="C62" s="8"/>
      <c r="D62" s="13">
        <f>+((C63+C65)^C66)*C64</f>
        <v>5.2873810113950066</v>
      </c>
      <c r="E62" s="8"/>
      <c r="F62" s="8"/>
    </row>
    <row r="63" spans="1:9" x14ac:dyDescent="0.2">
      <c r="A63" s="8"/>
      <c r="B63" s="9" t="s">
        <v>25</v>
      </c>
      <c r="C63" s="8">
        <f>+D59/60</f>
        <v>0.3697887141620711</v>
      </c>
      <c r="D63" s="8"/>
      <c r="E63" s="8"/>
      <c r="F63" s="8"/>
    </row>
    <row r="64" spans="1:9" x14ac:dyDescent="0.2">
      <c r="A64" s="8"/>
      <c r="B64" s="9" t="s">
        <v>26</v>
      </c>
      <c r="C64" s="98">
        <f>C23</f>
        <v>4.016</v>
      </c>
      <c r="D64" s="8"/>
      <c r="E64" s="8"/>
      <c r="F64" s="8"/>
    </row>
    <row r="65" spans="1:6" x14ac:dyDescent="0.2">
      <c r="A65" s="8"/>
      <c r="B65" s="9" t="s">
        <v>27</v>
      </c>
      <c r="C65" s="98">
        <f>C24</f>
        <v>0.34699999999999998</v>
      </c>
      <c r="D65" s="8"/>
      <c r="E65" s="8"/>
      <c r="F65" s="8"/>
    </row>
    <row r="66" spans="1:6" x14ac:dyDescent="0.2">
      <c r="A66" s="8"/>
      <c r="B66" s="9" t="s">
        <v>28</v>
      </c>
      <c r="C66" s="98">
        <f>C25</f>
        <v>-0.82599999999999996</v>
      </c>
      <c r="D66" s="8"/>
      <c r="E66" s="8"/>
      <c r="F66" s="8"/>
    </row>
    <row r="67" spans="1:6" x14ac:dyDescent="0.2">
      <c r="A67" s="8"/>
      <c r="B67" s="18" t="s">
        <v>29</v>
      </c>
      <c r="C67" s="19">
        <f>+C26</f>
        <v>3.3408402203856751</v>
      </c>
      <c r="D67" s="8"/>
      <c r="E67" s="8"/>
      <c r="F67" s="8"/>
    </row>
    <row r="68" spans="1:6" x14ac:dyDescent="0.2">
      <c r="A68" s="8"/>
      <c r="B68" s="8" t="s">
        <v>30</v>
      </c>
      <c r="C68" s="8" t="s">
        <v>31</v>
      </c>
      <c r="D68" s="13">
        <f>+C67*D62*C58</f>
        <v>7.494686580381841</v>
      </c>
      <c r="E68" s="8" t="s">
        <v>32</v>
      </c>
      <c r="F68" s="8"/>
    </row>
    <row r="70" spans="1:6" x14ac:dyDescent="0.2">
      <c r="A70" s="24"/>
      <c r="B70" s="21" t="s">
        <v>35</v>
      </c>
      <c r="C70" s="22">
        <f>+D68</f>
        <v>7.494686580381841</v>
      </c>
      <c r="D70" s="23" t="str">
        <f>+E68</f>
        <v>cfs</v>
      </c>
      <c r="E70" s="24"/>
      <c r="F70" s="24"/>
    </row>
    <row r="72" spans="1:6" x14ac:dyDescent="0.2">
      <c r="B72" s="21" t="s">
        <v>36</v>
      </c>
      <c r="C72" s="27"/>
      <c r="D72" s="27"/>
      <c r="E72" s="22">
        <f>+C30</f>
        <v>5.8897125697951491</v>
      </c>
      <c r="F72" s="28" t="s">
        <v>32</v>
      </c>
    </row>
    <row r="73" spans="1:6" x14ac:dyDescent="0.2">
      <c r="B73" s="25"/>
      <c r="C73" s="25"/>
      <c r="D73" s="25"/>
      <c r="E73" s="26"/>
      <c r="F73" s="29"/>
    </row>
    <row r="74" spans="1:6" x14ac:dyDescent="0.2">
      <c r="B74" s="25"/>
      <c r="C74" s="25"/>
      <c r="D74" s="25"/>
      <c r="E74" s="26"/>
      <c r="F74" s="29"/>
    </row>
    <row r="75" spans="1:6" x14ac:dyDescent="0.2">
      <c r="B75" s="25"/>
      <c r="C75" s="25"/>
      <c r="D75" s="25"/>
      <c r="E75" s="26"/>
      <c r="F75" s="29"/>
    </row>
    <row r="76" spans="1:6" x14ac:dyDescent="0.2">
      <c r="B76" s="25"/>
      <c r="C76" s="25"/>
      <c r="D76" s="25"/>
      <c r="E76" s="26"/>
      <c r="F76" s="29"/>
    </row>
    <row r="77" spans="1:6" x14ac:dyDescent="0.2">
      <c r="B77" s="25"/>
      <c r="C77" s="25"/>
      <c r="D77" s="25"/>
      <c r="E77" s="26"/>
      <c r="F77" s="29"/>
    </row>
    <row r="78" spans="1:6" x14ac:dyDescent="0.2">
      <c r="B78" s="25"/>
      <c r="C78" s="25"/>
      <c r="D78" s="25"/>
      <c r="E78" s="26"/>
      <c r="F78" s="29"/>
    </row>
    <row r="79" spans="1:6" x14ac:dyDescent="0.2">
      <c r="B79" s="25"/>
      <c r="C79" s="25"/>
      <c r="D79" s="25"/>
      <c r="E79" s="26"/>
      <c r="F79" s="29"/>
    </row>
    <row r="80" spans="1:6" x14ac:dyDescent="0.2">
      <c r="B80" s="25"/>
      <c r="C80" s="25"/>
      <c r="D80" s="25"/>
      <c r="E80" s="26"/>
      <c r="F80" s="29"/>
    </row>
    <row r="81" spans="1:13" x14ac:dyDescent="0.2">
      <c r="B81" s="25"/>
      <c r="C81" s="25"/>
      <c r="D81" s="25"/>
      <c r="E81" s="26"/>
      <c r="F81" s="29"/>
    </row>
    <row r="83" spans="1:13" ht="15.75" x14ac:dyDescent="0.25">
      <c r="A83" s="1" t="str">
        <f>A1</f>
        <v>JG Marine Shop</v>
      </c>
      <c r="B83" s="2"/>
      <c r="C83" s="2"/>
      <c r="D83" s="3"/>
      <c r="E83" s="3"/>
      <c r="F83" s="4"/>
    </row>
    <row r="84" spans="1:13" ht="15.75" thickBot="1" x14ac:dyDescent="0.25">
      <c r="A84" s="5" t="str">
        <f>A2</f>
        <v>Slidell, La</v>
      </c>
      <c r="B84" s="2"/>
      <c r="C84" s="2"/>
      <c r="D84" s="3"/>
      <c r="E84" s="3"/>
      <c r="F84" s="4"/>
    </row>
    <row r="86" spans="1:13" x14ac:dyDescent="0.2">
      <c r="A86" s="6" t="s">
        <v>3</v>
      </c>
    </row>
    <row r="87" spans="1:13" x14ac:dyDescent="0.2">
      <c r="A87" s="7" t="s">
        <v>37</v>
      </c>
    </row>
    <row r="88" spans="1:13" x14ac:dyDescent="0.2">
      <c r="A88" s="7"/>
      <c r="D88" s="30"/>
    </row>
    <row r="89" spans="1:13" ht="13.15" customHeight="1" x14ac:dyDescent="0.2">
      <c r="A89" s="7"/>
      <c r="B89" s="6" t="s">
        <v>38</v>
      </c>
      <c r="C89" s="155" t="s">
        <v>39</v>
      </c>
      <c r="D89" s="155"/>
      <c r="E89" s="155"/>
      <c r="F89" s="155"/>
    </row>
    <row r="90" spans="1:13" ht="16.5" customHeight="1" x14ac:dyDescent="0.2">
      <c r="A90" s="7"/>
      <c r="B90" s="6" t="s">
        <v>40</v>
      </c>
      <c r="C90" s="155"/>
      <c r="D90" s="155"/>
      <c r="E90" s="155"/>
      <c r="F90" s="155"/>
    </row>
    <row r="91" spans="1:13" ht="51" x14ac:dyDescent="0.2">
      <c r="A91" s="31" t="s">
        <v>41</v>
      </c>
      <c r="B91" s="18" t="s">
        <v>42</v>
      </c>
      <c r="C91" s="11" t="s">
        <v>43</v>
      </c>
      <c r="D91" s="11" t="s">
        <v>44</v>
      </c>
      <c r="E91" s="32" t="s">
        <v>45</v>
      </c>
      <c r="F91" s="32" t="s">
        <v>46</v>
      </c>
    </row>
    <row r="92" spans="1:13" x14ac:dyDescent="0.2">
      <c r="A92" s="9">
        <v>10</v>
      </c>
      <c r="B92" s="8" t="s">
        <v>47</v>
      </c>
      <c r="C92" s="13">
        <f t="shared" ref="C92:C102" si="0">((A92/60+$C$65)^$C$66)*$C$64</f>
        <v>6.9625909450524341</v>
      </c>
      <c r="D92" s="13">
        <f t="shared" ref="D92:D102" si="1">+C92*$C$67*$C$58</f>
        <v>9.8692408979251791</v>
      </c>
      <c r="E92" s="12">
        <f t="shared" ref="E92:E102" si="2">+A92*D92*60-(0.5*$E$72*(A92+$D$59)*60)</f>
        <v>234.3221394728389</v>
      </c>
      <c r="F92" s="33">
        <f t="shared" ref="F92:F102" si="3">E92*0.0000229569</f>
        <v>5.3793099236640156E-3</v>
      </c>
      <c r="L92" s="30"/>
    </row>
    <row r="93" spans="1:13" x14ac:dyDescent="0.2">
      <c r="A93" s="9">
        <v>20</v>
      </c>
      <c r="B93" s="8" t="s">
        <v>47</v>
      </c>
      <c r="C93" s="13">
        <f t="shared" si="0"/>
        <v>5.5203363355583566</v>
      </c>
      <c r="D93" s="13">
        <f t="shared" si="1"/>
        <v>7.8248929979017543</v>
      </c>
      <c r="E93" s="12">
        <f t="shared" si="2"/>
        <v>1935.7354272612929</v>
      </c>
      <c r="F93" s="33">
        <f t="shared" si="3"/>
        <v>4.4438484630094775E-2</v>
      </c>
      <c r="L93" s="30"/>
      <c r="M93" s="30"/>
    </row>
    <row r="94" spans="1:13" x14ac:dyDescent="0.2">
      <c r="A94" s="9">
        <v>30</v>
      </c>
      <c r="B94" s="8" t="s">
        <v>47</v>
      </c>
      <c r="C94" s="13">
        <f t="shared" si="0"/>
        <v>4.6064038148852591</v>
      </c>
      <c r="D94" s="13">
        <f t="shared" si="1"/>
        <v>6.5294240723029873</v>
      </c>
      <c r="E94" s="12">
        <f t="shared" si="2"/>
        <v>2531.9133889860186</v>
      </c>
      <c r="F94" s="33">
        <f t="shared" si="3"/>
        <v>5.812488247961313E-2</v>
      </c>
      <c r="L94" s="30"/>
      <c r="M94" s="30"/>
    </row>
    <row r="95" spans="1:13" x14ac:dyDescent="0.2">
      <c r="A95" s="9">
        <v>40</v>
      </c>
      <c r="B95" s="8" t="s">
        <v>47</v>
      </c>
      <c r="C95" s="13">
        <f t="shared" si="0"/>
        <v>3.9712232046586027</v>
      </c>
      <c r="D95" s="13">
        <f t="shared" si="1"/>
        <v>5.629076700830228</v>
      </c>
      <c r="E95" s="12">
        <f t="shared" si="2"/>
        <v>2521.8203698946454</v>
      </c>
      <c r="F95" s="33">
        <f t="shared" si="3"/>
        <v>5.7893178049634383E-2</v>
      </c>
      <c r="L95" s="30"/>
      <c r="M95" s="30"/>
    </row>
    <row r="96" spans="1:13" x14ac:dyDescent="0.2">
      <c r="A96" s="9">
        <v>50</v>
      </c>
      <c r="B96" s="8" t="s">
        <v>47</v>
      </c>
      <c r="C96" s="13">
        <f t="shared" si="0"/>
        <v>3.5020137347323921</v>
      </c>
      <c r="D96" s="13">
        <f t="shared" si="1"/>
        <v>4.9639878959823536</v>
      </c>
      <c r="E96" s="34">
        <f t="shared" si="2"/>
        <v>2137.0862049106127</v>
      </c>
      <c r="F96" s="33">
        <f t="shared" si="3"/>
        <v>4.9060874297512443E-2</v>
      </c>
      <c r="L96" s="30"/>
      <c r="M96" s="30"/>
    </row>
    <row r="97" spans="1:13" x14ac:dyDescent="0.2">
      <c r="A97" s="35">
        <v>60</v>
      </c>
      <c r="B97" s="36" t="s">
        <v>47</v>
      </c>
      <c r="C97" s="37">
        <f t="shared" si="0"/>
        <v>3.1400464321310491</v>
      </c>
      <c r="D97" s="38">
        <f t="shared" si="1"/>
        <v>4.4509112935024522</v>
      </c>
      <c r="E97" s="39">
        <f t="shared" si="2"/>
        <v>1501.4894026338334</v>
      </c>
      <c r="F97" s="40">
        <f t="shared" si="3"/>
        <v>3.4469542067324652E-2</v>
      </c>
      <c r="J97" s="6"/>
      <c r="L97" s="30"/>
      <c r="M97" s="30"/>
    </row>
    <row r="98" spans="1:13" x14ac:dyDescent="0.2">
      <c r="A98" s="9">
        <v>70</v>
      </c>
      <c r="B98" s="8" t="s">
        <v>47</v>
      </c>
      <c r="C98" s="13">
        <f t="shared" si="0"/>
        <v>2.8516007480326309</v>
      </c>
      <c r="D98" s="13">
        <f t="shared" si="1"/>
        <v>4.0420491379054777</v>
      </c>
      <c r="E98" s="41">
        <f t="shared" si="2"/>
        <v>687.90135428946814</v>
      </c>
      <c r="F98" s="33">
        <f t="shared" si="3"/>
        <v>1.5792082600287891E-2</v>
      </c>
      <c r="L98" s="30"/>
      <c r="M98" s="30"/>
    </row>
    <row r="99" spans="1:13" x14ac:dyDescent="0.2">
      <c r="A99" s="9">
        <v>80</v>
      </c>
      <c r="B99" s="8" t="s">
        <v>47</v>
      </c>
      <c r="C99" s="13">
        <f t="shared" si="0"/>
        <v>2.615875488691489</v>
      </c>
      <c r="D99" s="13">
        <f t="shared" si="1"/>
        <v>3.7079164294750391</v>
      </c>
      <c r="E99" s="12">
        <f t="shared" si="2"/>
        <v>-257.61993437189449</v>
      </c>
      <c r="F99" s="33">
        <f t="shared" si="3"/>
        <v>-5.9141550713821449E-3</v>
      </c>
      <c r="L99" s="30"/>
      <c r="M99" s="30"/>
    </row>
    <row r="100" spans="1:13" x14ac:dyDescent="0.2">
      <c r="A100" s="9">
        <v>90</v>
      </c>
      <c r="B100" s="8" t="s">
        <v>47</v>
      </c>
      <c r="C100" s="13">
        <f t="shared" si="0"/>
        <v>2.4193129410069925</v>
      </c>
      <c r="D100" s="13">
        <f t="shared" si="1"/>
        <v>3.4292955611922777</v>
      </c>
      <c r="E100" s="12">
        <f t="shared" si="2"/>
        <v>-1304.3365363523262</v>
      </c>
      <c r="F100" s="33">
        <f t="shared" si="3"/>
        <v>-2.9943523431386718E-2</v>
      </c>
    </row>
    <row r="101" spans="1:13" x14ac:dyDescent="0.2">
      <c r="A101" s="9">
        <v>100</v>
      </c>
      <c r="B101" s="8" t="s">
        <v>47</v>
      </c>
      <c r="C101" s="13">
        <f t="shared" si="0"/>
        <v>2.252682380625687</v>
      </c>
      <c r="D101" s="13">
        <f t="shared" si="1"/>
        <v>3.1931022885531672</v>
      </c>
      <c r="E101" s="12">
        <f t="shared" si="2"/>
        <v>-2430.8326064101675</v>
      </c>
      <c r="F101" s="33">
        <f t="shared" si="3"/>
        <v>-5.5804381062097577E-2</v>
      </c>
    </row>
    <row r="102" spans="1:13" x14ac:dyDescent="0.2">
      <c r="A102" s="9">
        <v>110</v>
      </c>
      <c r="B102" s="8" t="s">
        <v>47</v>
      </c>
      <c r="C102" s="13">
        <f t="shared" si="0"/>
        <v>2.1094721369172116</v>
      </c>
      <c r="D102" s="13">
        <f t="shared" si="1"/>
        <v>2.990106535195884</v>
      </c>
      <c r="E102" s="12">
        <f t="shared" si="2"/>
        <v>-3621.6569763748812</v>
      </c>
      <c r="F102" s="33">
        <f t="shared" si="3"/>
        <v>-8.3142017040940513E-2</v>
      </c>
    </row>
    <row r="103" spans="1:13" x14ac:dyDescent="0.2">
      <c r="B103" s="42"/>
      <c r="C103" s="43"/>
      <c r="D103" s="44"/>
      <c r="E103" s="44"/>
      <c r="F103" s="45"/>
    </row>
    <row r="104" spans="1:13" x14ac:dyDescent="0.2">
      <c r="B104" s="42"/>
      <c r="C104" s="43"/>
      <c r="D104" s="44"/>
      <c r="E104" s="44"/>
      <c r="F104" s="45"/>
    </row>
    <row r="105" spans="1:13" x14ac:dyDescent="0.2">
      <c r="B105" s="42"/>
      <c r="C105" s="43"/>
      <c r="D105" s="44"/>
      <c r="E105" s="44"/>
      <c r="F105" s="45"/>
    </row>
    <row r="106" spans="1:13" x14ac:dyDescent="0.2">
      <c r="B106" s="42"/>
      <c r="C106" s="43"/>
      <c r="D106" s="44"/>
      <c r="E106" s="44"/>
      <c r="F106" s="45"/>
    </row>
    <row r="107" spans="1:13" x14ac:dyDescent="0.2">
      <c r="B107" s="42"/>
      <c r="C107" s="43"/>
      <c r="D107" s="44"/>
      <c r="E107" s="44"/>
      <c r="F107" s="45"/>
    </row>
    <row r="108" spans="1:13" x14ac:dyDescent="0.2">
      <c r="B108" s="42"/>
      <c r="C108" s="43"/>
      <c r="D108" s="44"/>
      <c r="E108" s="44"/>
      <c r="F108" s="45"/>
    </row>
    <row r="109" spans="1:13" x14ac:dyDescent="0.2">
      <c r="B109" s="42"/>
      <c r="C109" s="43"/>
      <c r="D109" s="44"/>
      <c r="E109" s="44"/>
      <c r="F109" s="45"/>
    </row>
    <row r="110" spans="1:13" x14ac:dyDescent="0.2">
      <c r="B110" s="42"/>
      <c r="C110" s="43"/>
      <c r="D110" s="44"/>
      <c r="E110" s="44"/>
      <c r="F110" s="45"/>
    </row>
    <row r="111" spans="1:13" x14ac:dyDescent="0.2">
      <c r="B111" s="42"/>
      <c r="C111" s="43"/>
      <c r="D111" s="44"/>
      <c r="E111" s="44"/>
      <c r="F111" s="45"/>
    </row>
    <row r="112" spans="1:13" x14ac:dyDescent="0.2">
      <c r="B112" s="42"/>
      <c r="C112" s="43"/>
      <c r="D112" s="44"/>
      <c r="E112" s="44"/>
      <c r="F112" s="45"/>
    </row>
    <row r="113" spans="1:15" x14ac:dyDescent="0.2">
      <c r="B113" s="42"/>
      <c r="C113" s="43"/>
      <c r="D113" s="44"/>
      <c r="E113" s="44"/>
      <c r="F113" s="45"/>
    </row>
    <row r="114" spans="1:15" x14ac:dyDescent="0.2">
      <c r="B114" s="42"/>
      <c r="C114" s="43"/>
      <c r="D114" s="44"/>
      <c r="E114" s="44"/>
      <c r="F114" s="45"/>
    </row>
    <row r="115" spans="1:15" x14ac:dyDescent="0.2">
      <c r="B115" s="42"/>
      <c r="C115" s="43"/>
      <c r="D115" s="44"/>
      <c r="E115" s="44"/>
      <c r="F115" s="45"/>
    </row>
    <row r="116" spans="1:15" x14ac:dyDescent="0.2">
      <c r="B116" s="42"/>
      <c r="C116" s="43"/>
      <c r="D116" s="44"/>
      <c r="E116" s="44"/>
      <c r="F116" s="45"/>
    </row>
    <row r="117" spans="1:15" x14ac:dyDescent="0.2">
      <c r="B117" s="42"/>
      <c r="C117" s="43"/>
      <c r="D117" s="44"/>
      <c r="E117" s="44"/>
      <c r="F117" s="45"/>
    </row>
    <row r="118" spans="1:15" x14ac:dyDescent="0.2">
      <c r="B118" s="42"/>
      <c r="C118" s="43"/>
      <c r="D118" s="44"/>
      <c r="E118" s="44"/>
      <c r="F118" s="45"/>
    </row>
    <row r="119" spans="1:15" ht="15.75" x14ac:dyDescent="0.25">
      <c r="A119" s="1" t="str">
        <f>A1</f>
        <v>JG Marine Shop</v>
      </c>
      <c r="B119" s="2"/>
      <c r="C119" s="2"/>
      <c r="D119" s="3"/>
      <c r="E119" s="3"/>
      <c r="F119" s="4"/>
    </row>
    <row r="120" spans="1:15" ht="15.75" thickBot="1" x14ac:dyDescent="0.25">
      <c r="A120" s="5" t="str">
        <f>A2</f>
        <v>Slidell, La</v>
      </c>
      <c r="B120" s="2"/>
      <c r="C120" s="2"/>
      <c r="D120" s="3"/>
      <c r="E120" s="3"/>
      <c r="F120" s="4"/>
    </row>
    <row r="121" spans="1:15" x14ac:dyDescent="0.2">
      <c r="O121" s="6"/>
    </row>
    <row r="122" spans="1:15" x14ac:dyDescent="0.2">
      <c r="A122" s="7" t="s">
        <v>48</v>
      </c>
      <c r="C122" s="6" t="s">
        <v>49</v>
      </c>
      <c r="F122" s="46" t="s">
        <v>50</v>
      </c>
    </row>
    <row r="123" spans="1:15" x14ac:dyDescent="0.2">
      <c r="A123" s="7"/>
      <c r="C123" s="47" t="s">
        <v>51</v>
      </c>
      <c r="F123" s="48" t="s">
        <v>52</v>
      </c>
    </row>
    <row r="124" spans="1:15" x14ac:dyDescent="0.2">
      <c r="A124" s="156"/>
      <c r="B124" s="156"/>
      <c r="C124" s="156"/>
      <c r="D124" s="156"/>
      <c r="E124" s="156"/>
      <c r="F124" s="156"/>
    </row>
    <row r="125" spans="1:15" ht="12.75" customHeight="1" x14ac:dyDescent="0.2">
      <c r="A125" s="157" t="s">
        <v>53</v>
      </c>
      <c r="B125" s="157"/>
      <c r="C125" s="157"/>
      <c r="D125" s="157"/>
      <c r="E125" s="157"/>
      <c r="F125" s="157"/>
    </row>
    <row r="126" spans="1:15" x14ac:dyDescent="0.2">
      <c r="A126" s="157"/>
      <c r="B126" s="157"/>
      <c r="C126" s="157"/>
      <c r="D126" s="157"/>
      <c r="E126" s="157"/>
      <c r="F126" s="157"/>
      <c r="G126" s="46"/>
      <c r="H126" s="46"/>
    </row>
    <row r="127" spans="1:15" x14ac:dyDescent="0.2">
      <c r="A127" s="158"/>
      <c r="B127" s="158"/>
      <c r="C127" s="158"/>
      <c r="D127" s="158"/>
      <c r="E127" s="158"/>
      <c r="F127" s="158"/>
    </row>
    <row r="128" spans="1:15" ht="12.75" customHeight="1" x14ac:dyDescent="0.2">
      <c r="A128" s="153" t="s">
        <v>54</v>
      </c>
      <c r="B128" s="153"/>
      <c r="C128" s="153"/>
      <c r="D128" s="153"/>
      <c r="E128" s="153"/>
      <c r="F128" s="153"/>
    </row>
    <row r="129" spans="1:8" x14ac:dyDescent="0.2">
      <c r="A129" s="153"/>
      <c r="B129" s="153"/>
      <c r="C129" s="153"/>
      <c r="D129" s="153"/>
      <c r="E129" s="153"/>
      <c r="F129" s="153"/>
    </row>
    <row r="130" spans="1:8" x14ac:dyDescent="0.2">
      <c r="A130" s="49"/>
      <c r="B130" s="49"/>
      <c r="C130" s="49"/>
      <c r="D130" s="49"/>
      <c r="E130" s="49"/>
      <c r="F130" s="49"/>
    </row>
    <row r="131" spans="1:8" ht="12.75" customHeight="1" x14ac:dyDescent="0.2">
      <c r="A131" s="151" t="s">
        <v>55</v>
      </c>
      <c r="B131" s="151"/>
      <c r="C131" s="151"/>
      <c r="D131" s="151"/>
      <c r="E131" s="151"/>
      <c r="F131" s="151"/>
    </row>
    <row r="132" spans="1:8" x14ac:dyDescent="0.2">
      <c r="A132" s="151"/>
      <c r="B132" s="151"/>
      <c r="C132" s="151"/>
      <c r="D132" s="151"/>
      <c r="E132" s="151"/>
      <c r="F132" s="151"/>
    </row>
    <row r="133" spans="1:8" x14ac:dyDescent="0.2">
      <c r="A133" s="50" t="s">
        <v>56</v>
      </c>
      <c r="B133" s="49"/>
      <c r="C133" s="49">
        <v>26.93</v>
      </c>
      <c r="D133" s="49" t="s">
        <v>57</v>
      </c>
      <c r="E133" s="49">
        <v>105</v>
      </c>
      <c r="F133" s="51" t="s">
        <v>58</v>
      </c>
    </row>
    <row r="134" spans="1:8" x14ac:dyDescent="0.2">
      <c r="A134" s="52"/>
      <c r="B134" s="53">
        <f>C133*E133</f>
        <v>2827.65</v>
      </c>
      <c r="C134" s="54" t="s">
        <v>59</v>
      </c>
      <c r="D134" s="20"/>
      <c r="E134" s="20"/>
      <c r="F134" s="55"/>
    </row>
    <row r="135" spans="1:8" x14ac:dyDescent="0.2">
      <c r="A135" s="24"/>
      <c r="B135" s="56"/>
      <c r="C135" s="29"/>
      <c r="D135" s="24"/>
      <c r="E135" s="24"/>
      <c r="F135" s="24"/>
    </row>
    <row r="136" spans="1:8" ht="12.75" customHeight="1" x14ac:dyDescent="0.2">
      <c r="A136" s="151" t="s">
        <v>60</v>
      </c>
      <c r="B136" s="151"/>
      <c r="C136" s="151"/>
      <c r="D136" s="151"/>
      <c r="E136" s="151"/>
      <c r="F136" s="151"/>
    </row>
    <row r="137" spans="1:8" ht="15" customHeight="1" x14ac:dyDescent="0.2">
      <c r="A137" s="151"/>
      <c r="B137" s="151"/>
      <c r="C137" s="151"/>
      <c r="D137" s="151"/>
      <c r="E137" s="151"/>
      <c r="F137" s="151"/>
    </row>
    <row r="138" spans="1:8" ht="15" customHeight="1" x14ac:dyDescent="0.2">
      <c r="A138" s="50" t="s">
        <v>56</v>
      </c>
      <c r="B138" s="24"/>
      <c r="C138" s="24">
        <v>39.93</v>
      </c>
      <c r="D138" s="49" t="s">
        <v>57</v>
      </c>
      <c r="E138" s="49">
        <v>115.75</v>
      </c>
      <c r="F138" s="51" t="s">
        <v>58</v>
      </c>
    </row>
    <row r="139" spans="1:8" x14ac:dyDescent="0.2">
      <c r="A139" s="57"/>
      <c r="B139" s="53">
        <f>C138*E138</f>
        <v>4621.8975</v>
      </c>
      <c r="C139" s="54" t="s">
        <v>59</v>
      </c>
      <c r="D139" s="20"/>
      <c r="E139" s="54"/>
      <c r="F139" s="55"/>
      <c r="H139" s="58"/>
    </row>
    <row r="140" spans="1:8" x14ac:dyDescent="0.2">
      <c r="A140" s="25"/>
      <c r="B140" s="56"/>
      <c r="C140" s="29"/>
      <c r="D140" s="24"/>
      <c r="E140" s="29"/>
      <c r="F140" s="24"/>
      <c r="H140" s="58"/>
    </row>
    <row r="141" spans="1:8" ht="12.75" customHeight="1" x14ac:dyDescent="0.2">
      <c r="A141" s="151" t="s">
        <v>61</v>
      </c>
      <c r="B141" s="151"/>
      <c r="C141" s="151"/>
      <c r="D141" s="151"/>
      <c r="E141" s="151"/>
      <c r="F141" s="151"/>
    </row>
    <row r="142" spans="1:8" x14ac:dyDescent="0.2">
      <c r="A142" s="151"/>
      <c r="B142" s="151"/>
      <c r="C142" s="151"/>
      <c r="D142" s="151"/>
      <c r="E142" s="151"/>
      <c r="F142" s="151"/>
    </row>
    <row r="143" spans="1:8" x14ac:dyDescent="0.2">
      <c r="A143" s="50" t="s">
        <v>56</v>
      </c>
      <c r="B143" s="24"/>
      <c r="C143" s="24">
        <v>7.44</v>
      </c>
      <c r="D143" s="49" t="s">
        <v>57</v>
      </c>
      <c r="E143" s="49">
        <v>97</v>
      </c>
      <c r="F143" s="51" t="s">
        <v>58</v>
      </c>
    </row>
    <row r="144" spans="1:8" x14ac:dyDescent="0.2">
      <c r="A144" s="57"/>
      <c r="B144" s="53">
        <f>C143*E143</f>
        <v>721.68000000000006</v>
      </c>
      <c r="C144" s="54" t="s">
        <v>59</v>
      </c>
      <c r="D144" s="20"/>
      <c r="E144" s="54"/>
      <c r="F144" s="55"/>
      <c r="H144" s="58"/>
    </row>
    <row r="145" spans="1:8" x14ac:dyDescent="0.2">
      <c r="A145" s="25"/>
      <c r="B145" s="56"/>
      <c r="C145" s="29"/>
      <c r="D145" s="24"/>
      <c r="E145" s="29"/>
      <c r="F145" s="24"/>
      <c r="H145" s="58"/>
    </row>
    <row r="146" spans="1:8" ht="12.75" customHeight="1" x14ac:dyDescent="0.2">
      <c r="A146" s="151" t="s">
        <v>62</v>
      </c>
      <c r="B146" s="151"/>
      <c r="C146" s="151"/>
      <c r="D146" s="151"/>
      <c r="E146" s="151"/>
      <c r="F146" s="151"/>
    </row>
    <row r="147" spans="1:8" x14ac:dyDescent="0.2">
      <c r="A147" s="151"/>
      <c r="B147" s="151"/>
      <c r="C147" s="151"/>
      <c r="D147" s="151"/>
      <c r="E147" s="151"/>
      <c r="F147" s="151"/>
    </row>
    <row r="148" spans="1:8" ht="12.75" customHeight="1" x14ac:dyDescent="0.2">
      <c r="A148" s="152" t="s">
        <v>63</v>
      </c>
      <c r="B148" s="152"/>
      <c r="C148" s="49">
        <v>3.27</v>
      </c>
      <c r="D148" s="49" t="s">
        <v>64</v>
      </c>
      <c r="E148" s="49">
        <v>4</v>
      </c>
      <c r="F148" s="51" t="s">
        <v>65</v>
      </c>
    </row>
    <row r="149" spans="1:8" x14ac:dyDescent="0.2">
      <c r="A149" s="59">
        <v>9</v>
      </c>
      <c r="B149" s="53">
        <f>C148*E148*A149</f>
        <v>117.72</v>
      </c>
      <c r="C149" s="54" t="s">
        <v>59</v>
      </c>
      <c r="D149" s="60"/>
      <c r="E149" s="53"/>
      <c r="F149" s="61"/>
      <c r="H149" s="58"/>
    </row>
    <row r="150" spans="1:8" x14ac:dyDescent="0.2">
      <c r="A150" s="29"/>
      <c r="B150" s="56"/>
      <c r="C150" s="29"/>
      <c r="D150" s="25"/>
      <c r="E150" s="56"/>
      <c r="F150" s="29"/>
      <c r="H150" s="58"/>
    </row>
    <row r="151" spans="1:8" ht="12.75" customHeight="1" x14ac:dyDescent="0.2">
      <c r="A151" s="151" t="s">
        <v>66</v>
      </c>
      <c r="B151" s="151"/>
      <c r="C151" s="151"/>
      <c r="D151" s="151"/>
      <c r="E151" s="151"/>
      <c r="F151" s="151"/>
      <c r="H151" s="58"/>
    </row>
    <row r="152" spans="1:8" x14ac:dyDescent="0.2">
      <c r="A152" s="151"/>
      <c r="B152" s="151"/>
      <c r="C152" s="151"/>
      <c r="D152" s="151"/>
      <c r="E152" s="151"/>
      <c r="F152" s="151"/>
      <c r="H152" s="58"/>
    </row>
    <row r="153" spans="1:8" ht="13.5" customHeight="1" x14ac:dyDescent="0.2">
      <c r="A153" s="50" t="s">
        <v>67</v>
      </c>
      <c r="B153" s="49"/>
      <c r="C153" s="24">
        <v>0.78500000000000003</v>
      </c>
      <c r="D153" s="29" t="s">
        <v>65</v>
      </c>
      <c r="E153" s="49">
        <v>450</v>
      </c>
      <c r="F153" s="51" t="s">
        <v>68</v>
      </c>
      <c r="H153" s="58"/>
    </row>
    <row r="154" spans="1:8" x14ac:dyDescent="0.2">
      <c r="A154" s="52">
        <v>0.85</v>
      </c>
      <c r="B154" s="53">
        <f>C153*E153*A154</f>
        <v>300.26249999999999</v>
      </c>
      <c r="C154" s="54" t="s">
        <v>69</v>
      </c>
      <c r="D154" s="20"/>
      <c r="E154" s="20"/>
      <c r="F154" s="55"/>
      <c r="H154" s="58"/>
    </row>
    <row r="155" spans="1:8" x14ac:dyDescent="0.2">
      <c r="C155" s="62"/>
    </row>
    <row r="156" spans="1:8" ht="12.75" customHeight="1" x14ac:dyDescent="0.2">
      <c r="A156" s="149" t="s">
        <v>70</v>
      </c>
      <c r="B156" s="149"/>
      <c r="C156" s="63">
        <f>B134+B139+B144+B149+B154</f>
        <v>8589.2100000000009</v>
      </c>
      <c r="D156" s="150" t="s">
        <v>71</v>
      </c>
      <c r="E156" s="150"/>
      <c r="F156" s="150"/>
      <c r="G156" s="24"/>
    </row>
    <row r="157" spans="1:8" x14ac:dyDescent="0.2">
      <c r="A157" s="24"/>
      <c r="B157" s="24"/>
      <c r="C157" s="24"/>
      <c r="D157" s="150"/>
      <c r="E157" s="150"/>
      <c r="F157" s="150"/>
      <c r="G157" s="24"/>
    </row>
    <row r="158" spans="1:8" x14ac:dyDescent="0.2">
      <c r="A158" s="24"/>
      <c r="B158" s="24"/>
      <c r="C158" s="24"/>
      <c r="D158" s="64"/>
      <c r="E158" s="64"/>
      <c r="F158" s="64"/>
      <c r="G158" s="24"/>
    </row>
    <row r="159" spans="1:8" ht="15.75" x14ac:dyDescent="0.25">
      <c r="A159" s="1" t="str">
        <f>A1</f>
        <v>JG Marine Shop</v>
      </c>
      <c r="B159" s="2"/>
      <c r="C159" s="2"/>
      <c r="D159" s="3"/>
      <c r="E159" s="3"/>
      <c r="F159" s="4"/>
      <c r="G159" s="24"/>
    </row>
    <row r="160" spans="1:8" ht="15.75" thickBot="1" x14ac:dyDescent="0.25">
      <c r="A160" s="5" t="str">
        <f>A2</f>
        <v>Slidell, La</v>
      </c>
      <c r="B160" s="2"/>
      <c r="C160" s="2"/>
      <c r="D160" s="3"/>
      <c r="E160" s="3"/>
      <c r="F160" s="4"/>
      <c r="G160" s="24"/>
    </row>
    <row r="161" spans="1:15" x14ac:dyDescent="0.2">
      <c r="A161" s="24"/>
      <c r="B161" s="24"/>
      <c r="C161" s="24"/>
      <c r="D161" s="64"/>
      <c r="E161" s="64"/>
      <c r="F161" s="64"/>
      <c r="G161" s="24"/>
    </row>
    <row r="162" spans="1:15" x14ac:dyDescent="0.2">
      <c r="B162" s="6" t="s">
        <v>72</v>
      </c>
      <c r="D162" t="s">
        <v>73</v>
      </c>
      <c r="I162" s="6" t="s">
        <v>67</v>
      </c>
      <c r="J162">
        <v>0.78500000000000003</v>
      </c>
      <c r="K162" t="s">
        <v>74</v>
      </c>
      <c r="L162">
        <f>511-16</f>
        <v>495</v>
      </c>
      <c r="M162" t="s">
        <v>75</v>
      </c>
      <c r="N162">
        <f>J162*L162</f>
        <v>388.57499999999999</v>
      </c>
      <c r="O162" s="6" t="s">
        <v>76</v>
      </c>
    </row>
    <row r="163" spans="1:15" x14ac:dyDescent="0.2">
      <c r="M163" t="s">
        <v>77</v>
      </c>
      <c r="N163">
        <f>N162*2</f>
        <v>777.15</v>
      </c>
    </row>
    <row r="164" spans="1:15" x14ac:dyDescent="0.2">
      <c r="B164" s="6" t="s">
        <v>78</v>
      </c>
      <c r="C164" s="30">
        <f>+E72</f>
        <v>5.8897125697951491</v>
      </c>
      <c r="D164" s="6" t="s">
        <v>79</v>
      </c>
      <c r="E164" t="s">
        <v>80</v>
      </c>
      <c r="F164" s="6"/>
    </row>
    <row r="165" spans="1:15" x14ac:dyDescent="0.2">
      <c r="B165" s="6" t="s">
        <v>81</v>
      </c>
      <c r="C165">
        <v>0.98</v>
      </c>
      <c r="J165" s="58"/>
      <c r="K165" s="6"/>
      <c r="L165" s="58"/>
      <c r="N165" s="65">
        <f>E97</f>
        <v>1501.4894026338334</v>
      </c>
      <c r="O165" s="6" t="s">
        <v>82</v>
      </c>
    </row>
    <row r="166" spans="1:15" x14ac:dyDescent="0.2">
      <c r="B166" s="6" t="s">
        <v>83</v>
      </c>
      <c r="C166">
        <v>32.200000000000003</v>
      </c>
      <c r="D166" s="6" t="s">
        <v>84</v>
      </c>
      <c r="L166" t="s">
        <v>85</v>
      </c>
      <c r="N166" s="30">
        <f>N162*0.85</f>
        <v>330.28874999999999</v>
      </c>
      <c r="O166" t="s">
        <v>86</v>
      </c>
    </row>
    <row r="167" spans="1:15" x14ac:dyDescent="0.2">
      <c r="B167" s="6" t="s">
        <v>87</v>
      </c>
      <c r="C167">
        <v>1.63</v>
      </c>
      <c r="D167" s="6" t="s">
        <v>88</v>
      </c>
      <c r="L167" t="s">
        <v>89</v>
      </c>
      <c r="M167">
        <v>8.44</v>
      </c>
      <c r="N167">
        <f>M167*9</f>
        <v>75.959999999999994</v>
      </c>
    </row>
    <row r="168" spans="1:15" x14ac:dyDescent="0.2">
      <c r="B168" s="6" t="s">
        <v>90</v>
      </c>
      <c r="C168" s="30">
        <f>+C164/C165/F168</f>
        <v>0.58658545400753126</v>
      </c>
      <c r="F168" s="66">
        <f>(+C167*2*C166)^0.5</f>
        <v>10.245584414761318</v>
      </c>
      <c r="L168" t="s">
        <v>91</v>
      </c>
      <c r="N168" s="58">
        <v>2827</v>
      </c>
      <c r="O168" t="s">
        <v>86</v>
      </c>
    </row>
    <row r="169" spans="1:15" x14ac:dyDescent="0.2">
      <c r="B169" s="24"/>
      <c r="C169" s="44"/>
      <c r="D169" s="24"/>
      <c r="E169" s="24"/>
      <c r="F169" s="24"/>
      <c r="L169" t="s">
        <v>92</v>
      </c>
      <c r="N169">
        <v>902</v>
      </c>
      <c r="O169" t="s">
        <v>86</v>
      </c>
    </row>
    <row r="170" spans="1:15" x14ac:dyDescent="0.2">
      <c r="B170" s="29" t="s">
        <v>93</v>
      </c>
      <c r="C170" s="67">
        <f>+C168*144</f>
        <v>84.468305377084505</v>
      </c>
      <c r="D170" s="25" t="s">
        <v>94</v>
      </c>
      <c r="E170" s="25"/>
      <c r="F170" s="25"/>
      <c r="L170" s="6" t="s">
        <v>95</v>
      </c>
      <c r="N170" s="58">
        <v>4622</v>
      </c>
      <c r="O170" t="s">
        <v>86</v>
      </c>
    </row>
    <row r="171" spans="1:15" x14ac:dyDescent="0.2">
      <c r="B171" s="68" t="s">
        <v>96</v>
      </c>
      <c r="C171" s="30">
        <f>+((C170/3.14)^0.5)*2</f>
        <v>10.373183541521614</v>
      </c>
      <c r="D171" s="6" t="s">
        <v>94</v>
      </c>
      <c r="L171" s="6" t="s">
        <v>97</v>
      </c>
      <c r="N171">
        <v>251</v>
      </c>
      <c r="O171" t="s">
        <v>86</v>
      </c>
    </row>
    <row r="172" spans="1:15" x14ac:dyDescent="0.2">
      <c r="C172" s="62"/>
      <c r="L172" s="6" t="s">
        <v>98</v>
      </c>
      <c r="N172" s="58">
        <v>722</v>
      </c>
      <c r="O172" t="s">
        <v>86</v>
      </c>
    </row>
    <row r="173" spans="1:15" x14ac:dyDescent="0.2">
      <c r="B173" s="7" t="s">
        <v>99</v>
      </c>
      <c r="N173" s="58">
        <f>N165-N166-N167-N168-N169-N170-N171-N172</f>
        <v>-8228.7593473661655</v>
      </c>
      <c r="O173" s="6" t="s">
        <v>100</v>
      </c>
    </row>
    <row r="174" spans="1:15" x14ac:dyDescent="0.2">
      <c r="A174" s="7"/>
    </row>
    <row r="175" spans="1:15" x14ac:dyDescent="0.2">
      <c r="C175" s="30"/>
      <c r="L175" t="s">
        <v>101</v>
      </c>
      <c r="N175" s="58">
        <v>988</v>
      </c>
      <c r="O175" t="s">
        <v>102</v>
      </c>
    </row>
    <row r="176" spans="1:15" x14ac:dyDescent="0.2">
      <c r="B176" s="6"/>
      <c r="I176" s="6" t="s">
        <v>103</v>
      </c>
      <c r="J176">
        <v>1.9</v>
      </c>
      <c r="K176" s="6" t="s">
        <v>104</v>
      </c>
      <c r="L176">
        <v>511</v>
      </c>
      <c r="M176" t="s">
        <v>75</v>
      </c>
      <c r="N176">
        <f>J176*L176</f>
        <v>970.9</v>
      </c>
      <c r="O176" s="6" t="s">
        <v>76</v>
      </c>
    </row>
    <row r="188" spans="9:13" ht="63.75" x14ac:dyDescent="0.2">
      <c r="I188" t="s">
        <v>105</v>
      </c>
      <c r="K188" s="69" t="s">
        <v>106</v>
      </c>
      <c r="L188" s="69" t="s">
        <v>107</v>
      </c>
      <c r="M188" s="69" t="s">
        <v>108</v>
      </c>
    </row>
    <row r="189" spans="9:13" x14ac:dyDescent="0.2">
      <c r="I189" s="17">
        <v>0</v>
      </c>
      <c r="K189">
        <f>0</f>
        <v>0</v>
      </c>
      <c r="L189">
        <v>0</v>
      </c>
      <c r="M189">
        <v>0</v>
      </c>
    </row>
    <row r="190" spans="9:13" x14ac:dyDescent="0.2">
      <c r="I190">
        <f t="shared" ref="I190:I228" si="4">I189+0.1</f>
        <v>0.1</v>
      </c>
      <c r="K190" s="70">
        <v>3</v>
      </c>
    </row>
    <row r="191" spans="9:13" x14ac:dyDescent="0.2">
      <c r="I191">
        <f t="shared" si="4"/>
        <v>0.2</v>
      </c>
      <c r="K191" s="70">
        <v>3.8</v>
      </c>
    </row>
    <row r="192" spans="9:13" x14ac:dyDescent="0.2">
      <c r="I192">
        <f t="shared" si="4"/>
        <v>0.30000000000000004</v>
      </c>
      <c r="K192" s="70">
        <v>4.24</v>
      </c>
    </row>
    <row r="193" spans="9:11" x14ac:dyDescent="0.2">
      <c r="I193">
        <f t="shared" si="4"/>
        <v>0.4</v>
      </c>
      <c r="K193" s="70">
        <v>4.24</v>
      </c>
    </row>
    <row r="194" spans="9:11" x14ac:dyDescent="0.2">
      <c r="I194">
        <f t="shared" si="4"/>
        <v>0.5</v>
      </c>
      <c r="K194" s="70">
        <v>4.24</v>
      </c>
    </row>
    <row r="195" spans="9:11" x14ac:dyDescent="0.2">
      <c r="I195">
        <f t="shared" si="4"/>
        <v>0.6</v>
      </c>
      <c r="K195" s="70">
        <v>4.24</v>
      </c>
    </row>
    <row r="196" spans="9:11" x14ac:dyDescent="0.2">
      <c r="I196">
        <f t="shared" si="4"/>
        <v>0.7</v>
      </c>
      <c r="K196" s="70">
        <v>4</v>
      </c>
    </row>
    <row r="197" spans="9:11" x14ac:dyDescent="0.2">
      <c r="I197">
        <f t="shared" si="4"/>
        <v>0.79999999999999993</v>
      </c>
      <c r="K197" s="70">
        <v>3</v>
      </c>
    </row>
    <row r="198" spans="9:11" x14ac:dyDescent="0.2">
      <c r="I198">
        <f t="shared" si="4"/>
        <v>0.89999999999999991</v>
      </c>
      <c r="K198" s="70">
        <v>2</v>
      </c>
    </row>
    <row r="199" spans="9:11" x14ac:dyDescent="0.2">
      <c r="I199">
        <f t="shared" si="4"/>
        <v>0.99999999999999989</v>
      </c>
      <c r="K199" s="70">
        <v>1</v>
      </c>
    </row>
    <row r="200" spans="9:11" x14ac:dyDescent="0.2">
      <c r="I200">
        <f t="shared" si="4"/>
        <v>1.0999999999999999</v>
      </c>
      <c r="K200">
        <v>0</v>
      </c>
    </row>
    <row r="201" spans="9:11" x14ac:dyDescent="0.2">
      <c r="I201">
        <f t="shared" si="4"/>
        <v>1.2</v>
      </c>
    </row>
    <row r="202" spans="9:11" x14ac:dyDescent="0.2">
      <c r="I202">
        <f t="shared" si="4"/>
        <v>1.3</v>
      </c>
    </row>
    <row r="203" spans="9:11" x14ac:dyDescent="0.2">
      <c r="I203">
        <f t="shared" si="4"/>
        <v>1.4000000000000001</v>
      </c>
    </row>
    <row r="204" spans="9:11" x14ac:dyDescent="0.2">
      <c r="I204">
        <f t="shared" si="4"/>
        <v>1.5000000000000002</v>
      </c>
    </row>
    <row r="205" spans="9:11" x14ac:dyDescent="0.2">
      <c r="I205">
        <f t="shared" si="4"/>
        <v>1.6000000000000003</v>
      </c>
    </row>
    <row r="206" spans="9:11" x14ac:dyDescent="0.2">
      <c r="I206">
        <f t="shared" si="4"/>
        <v>1.7000000000000004</v>
      </c>
    </row>
    <row r="207" spans="9:11" x14ac:dyDescent="0.2">
      <c r="I207">
        <f t="shared" si="4"/>
        <v>1.8000000000000005</v>
      </c>
    </row>
    <row r="208" spans="9:11" x14ac:dyDescent="0.2">
      <c r="I208">
        <f t="shared" si="4"/>
        <v>1.9000000000000006</v>
      </c>
    </row>
    <row r="209" spans="9:9" x14ac:dyDescent="0.2">
      <c r="I209">
        <f t="shared" si="4"/>
        <v>2.0000000000000004</v>
      </c>
    </row>
    <row r="210" spans="9:9" x14ac:dyDescent="0.2">
      <c r="I210">
        <f t="shared" si="4"/>
        <v>2.1000000000000005</v>
      </c>
    </row>
    <row r="211" spans="9:9" x14ac:dyDescent="0.2">
      <c r="I211">
        <f t="shared" si="4"/>
        <v>2.2000000000000006</v>
      </c>
    </row>
    <row r="212" spans="9:9" x14ac:dyDescent="0.2">
      <c r="I212">
        <f t="shared" si="4"/>
        <v>2.3000000000000007</v>
      </c>
    </row>
    <row r="213" spans="9:9" x14ac:dyDescent="0.2">
      <c r="I213">
        <f t="shared" si="4"/>
        <v>2.4000000000000008</v>
      </c>
    </row>
    <row r="214" spans="9:9" x14ac:dyDescent="0.2">
      <c r="I214">
        <f t="shared" si="4"/>
        <v>2.5000000000000009</v>
      </c>
    </row>
    <row r="215" spans="9:9" x14ac:dyDescent="0.2">
      <c r="I215">
        <f t="shared" si="4"/>
        <v>2.600000000000001</v>
      </c>
    </row>
    <row r="216" spans="9:9" x14ac:dyDescent="0.2">
      <c r="I216">
        <f t="shared" si="4"/>
        <v>2.7000000000000011</v>
      </c>
    </row>
    <row r="217" spans="9:9" x14ac:dyDescent="0.2">
      <c r="I217">
        <f t="shared" si="4"/>
        <v>2.8000000000000012</v>
      </c>
    </row>
    <row r="218" spans="9:9" x14ac:dyDescent="0.2">
      <c r="I218">
        <f t="shared" si="4"/>
        <v>2.9000000000000012</v>
      </c>
    </row>
    <row r="219" spans="9:9" x14ac:dyDescent="0.2">
      <c r="I219">
        <f t="shared" si="4"/>
        <v>3.0000000000000013</v>
      </c>
    </row>
    <row r="220" spans="9:9" x14ac:dyDescent="0.2">
      <c r="I220">
        <f t="shared" si="4"/>
        <v>3.1000000000000014</v>
      </c>
    </row>
    <row r="221" spans="9:9" x14ac:dyDescent="0.2">
      <c r="I221">
        <f t="shared" si="4"/>
        <v>3.2000000000000015</v>
      </c>
    </row>
    <row r="222" spans="9:9" x14ac:dyDescent="0.2">
      <c r="I222">
        <f t="shared" si="4"/>
        <v>3.3000000000000016</v>
      </c>
    </row>
    <row r="223" spans="9:9" x14ac:dyDescent="0.2">
      <c r="I223">
        <f t="shared" si="4"/>
        <v>3.4000000000000017</v>
      </c>
    </row>
    <row r="224" spans="9:9" x14ac:dyDescent="0.2">
      <c r="I224">
        <f t="shared" si="4"/>
        <v>3.5000000000000018</v>
      </c>
    </row>
    <row r="225" spans="9:9" x14ac:dyDescent="0.2">
      <c r="I225">
        <f t="shared" si="4"/>
        <v>3.6000000000000019</v>
      </c>
    </row>
    <row r="226" spans="9:9" x14ac:dyDescent="0.2">
      <c r="I226">
        <f t="shared" si="4"/>
        <v>3.700000000000002</v>
      </c>
    </row>
    <row r="227" spans="9:9" x14ac:dyDescent="0.2">
      <c r="I227">
        <f t="shared" si="4"/>
        <v>3.800000000000002</v>
      </c>
    </row>
    <row r="228" spans="9:9" x14ac:dyDescent="0.2">
      <c r="I228">
        <f t="shared" si="4"/>
        <v>3.9000000000000021</v>
      </c>
    </row>
  </sheetData>
  <sheetProtection selectLockedCells="1" selectUnlockedCells="1"/>
  <mergeCells count="14">
    <mergeCell ref="A128:F129"/>
    <mergeCell ref="A2:F2"/>
    <mergeCell ref="C89:F90"/>
    <mergeCell ref="A124:F124"/>
    <mergeCell ref="A125:F126"/>
    <mergeCell ref="A127:F127"/>
    <mergeCell ref="A156:B156"/>
    <mergeCell ref="D156:F157"/>
    <mergeCell ref="A131:F132"/>
    <mergeCell ref="A136:F137"/>
    <mergeCell ref="A141:F142"/>
    <mergeCell ref="A146:F147"/>
    <mergeCell ref="A148:B148"/>
    <mergeCell ref="A151:F152"/>
  </mergeCells>
  <pageMargins left="0.75" right="0.75" top="0.39027777777777778" bottom="0.30972222222222223" header="0.51180555555555551" footer="0.51180555555555551"/>
  <pageSetup scale="135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1"/>
  <sheetViews>
    <sheetView tabSelected="1" workbookViewId="0">
      <selection activeCell="C44" sqref="C44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9" ht="16.5" thickBot="1" x14ac:dyDescent="0.3">
      <c r="A1" s="1" t="str">
        <f>'10 Year'!A1</f>
        <v>JG Marine Shop</v>
      </c>
      <c r="B1" s="2"/>
      <c r="C1" s="2"/>
      <c r="D1" s="3"/>
      <c r="E1" s="3"/>
      <c r="F1" s="4"/>
    </row>
    <row r="2" spans="1:9" ht="15.75" thickBot="1" x14ac:dyDescent="0.25">
      <c r="A2" s="154" t="str">
        <f>'10 Year'!A2:F2</f>
        <v>Slidell, La</v>
      </c>
      <c r="B2" s="154"/>
      <c r="C2" s="154"/>
      <c r="D2" s="154"/>
      <c r="E2" s="154"/>
      <c r="F2" s="154"/>
    </row>
    <row r="4" spans="1:9" x14ac:dyDescent="0.2">
      <c r="A4" s="6" t="s">
        <v>115</v>
      </c>
    </row>
    <row r="5" spans="1:9" x14ac:dyDescent="0.2">
      <c r="A5" s="7" t="s">
        <v>4</v>
      </c>
      <c r="B5" s="7"/>
      <c r="C5" s="7"/>
    </row>
    <row r="6" spans="1:9" x14ac:dyDescent="0.2">
      <c r="A6" s="7" t="s">
        <v>116</v>
      </c>
      <c r="B6" s="7"/>
      <c r="C6" s="7"/>
    </row>
    <row r="8" spans="1:9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  <c r="I8" s="10" t="s">
        <v>10</v>
      </c>
    </row>
    <row r="9" spans="1:9" x14ac:dyDescent="0.2">
      <c r="A9" s="11" t="s">
        <v>11</v>
      </c>
      <c r="B9" s="8" t="s">
        <v>12</v>
      </c>
      <c r="C9" s="8"/>
      <c r="D9" s="8">
        <v>0.2</v>
      </c>
      <c r="E9" s="97">
        <f>'10 Year'!E9</f>
        <v>92235</v>
      </c>
      <c r="F9" s="8">
        <f>+E9*D9</f>
        <v>18447</v>
      </c>
      <c r="I9">
        <f>E9*0.0000000358701</f>
        <v>3.3084786735000002E-3</v>
      </c>
    </row>
    <row r="10" spans="1:9" x14ac:dyDescent="0.2">
      <c r="A10" s="8"/>
      <c r="B10" s="8" t="s">
        <v>13</v>
      </c>
      <c r="C10" s="8"/>
      <c r="D10" s="8">
        <v>0.25</v>
      </c>
      <c r="E10" s="97">
        <f>'10 Year'!E10</f>
        <v>24316</v>
      </c>
      <c r="F10" s="8">
        <f>+E10*D10</f>
        <v>6079</v>
      </c>
    </row>
    <row r="11" spans="1:9" x14ac:dyDescent="0.2">
      <c r="A11" s="8"/>
      <c r="B11" s="8" t="s">
        <v>14</v>
      </c>
      <c r="C11" s="8"/>
      <c r="D11" s="13">
        <v>0.95</v>
      </c>
      <c r="E11" s="97">
        <f>'10 Year'!E11</f>
        <v>28976</v>
      </c>
      <c r="F11" s="8">
        <f>+E11*D11</f>
        <v>27527.199999999997</v>
      </c>
    </row>
    <row r="12" spans="1:9" x14ac:dyDescent="0.2">
      <c r="A12" s="8"/>
      <c r="B12" s="8"/>
      <c r="C12" s="8"/>
      <c r="D12" s="8"/>
      <c r="E12" s="12">
        <f>SUM(E9:E11)</f>
        <v>145527</v>
      </c>
      <c r="F12" s="8">
        <f>SUM(F9:F11)</f>
        <v>52053.2</v>
      </c>
    </row>
    <row r="13" spans="1:9" x14ac:dyDescent="0.2">
      <c r="A13" s="8"/>
      <c r="B13" s="8" t="s">
        <v>15</v>
      </c>
      <c r="C13" s="8"/>
      <c r="D13" s="13">
        <f>+F12/E12</f>
        <v>0.35768757687576874</v>
      </c>
      <c r="E13" s="8"/>
      <c r="F13" s="8"/>
    </row>
    <row r="14" spans="1:9" x14ac:dyDescent="0.2">
      <c r="A14" s="8"/>
      <c r="B14" s="8"/>
      <c r="C14" s="8"/>
      <c r="D14" s="8"/>
      <c r="E14" s="8"/>
      <c r="F14" s="8"/>
    </row>
    <row r="15" spans="1:9" x14ac:dyDescent="0.2">
      <c r="B15" s="8" t="s">
        <v>17</v>
      </c>
      <c r="C15" s="8">
        <v>336</v>
      </c>
      <c r="D15" s="8" t="s">
        <v>18</v>
      </c>
      <c r="E15" s="8"/>
      <c r="F15" s="14"/>
    </row>
    <row r="16" spans="1:9" x14ac:dyDescent="0.2">
      <c r="A16" s="8"/>
      <c r="B16" s="8" t="s">
        <v>19</v>
      </c>
      <c r="C16" s="15">
        <f>+F16*100</f>
        <v>0.29761904761904762</v>
      </c>
      <c r="D16" s="8"/>
      <c r="E16" s="15"/>
      <c r="F16" s="8">
        <f>1/C15</f>
        <v>2.976190476190476E-3</v>
      </c>
    </row>
    <row r="17" spans="1:9" x14ac:dyDescent="0.2">
      <c r="A17" s="8"/>
      <c r="B17" s="8" t="s">
        <v>20</v>
      </c>
      <c r="C17" s="13">
        <f>+D13</f>
        <v>0.35768757687576874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27.957536160948159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9.7626359553939448</v>
      </c>
      <c r="D19" s="8">
        <f>+C17^-1.1309</f>
        <v>3.1984715242439323</v>
      </c>
      <c r="E19" s="8">
        <f>+C16^-0.1985</f>
        <v>1.2719743292843553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11" t="s">
        <v>16</v>
      </c>
      <c r="B21" s="8" t="s">
        <v>24</v>
      </c>
      <c r="C21" s="8"/>
      <c r="D21" s="13">
        <f>+((C22+C24)^C25)*C23</f>
        <v>5.4448627606314597</v>
      </c>
      <c r="E21" s="8"/>
      <c r="F21" s="8"/>
    </row>
    <row r="22" spans="1:9" x14ac:dyDescent="0.2">
      <c r="A22" s="8"/>
      <c r="B22" s="9" t="s">
        <v>25</v>
      </c>
      <c r="C22" s="8">
        <f>+D18/60</f>
        <v>0.46595893601580263</v>
      </c>
      <c r="D22" s="8"/>
      <c r="E22" s="8"/>
      <c r="F22" s="8"/>
    </row>
    <row r="23" spans="1:9" x14ac:dyDescent="0.2">
      <c r="A23" s="8"/>
      <c r="B23" s="9" t="s">
        <v>26</v>
      </c>
      <c r="C23" s="98">
        <f>'La DOTD'!C53</f>
        <v>4.6109999999999998</v>
      </c>
      <c r="D23" s="8"/>
      <c r="E23" s="8"/>
      <c r="F23" s="8"/>
    </row>
    <row r="24" spans="1:9" x14ac:dyDescent="0.2">
      <c r="A24" s="8"/>
      <c r="B24" s="9" t="s">
        <v>27</v>
      </c>
      <c r="C24" s="98">
        <f>'La DOTD'!D53</f>
        <v>0.34599999999999997</v>
      </c>
      <c r="D24" s="8"/>
      <c r="E24" s="8"/>
      <c r="F24" s="8"/>
    </row>
    <row r="25" spans="1:9" x14ac:dyDescent="0.2">
      <c r="A25" s="8"/>
      <c r="B25" s="9" t="s">
        <v>28</v>
      </c>
      <c r="C25" s="98">
        <f>'La DOTD'!E53</f>
        <v>-0.79800000000000004</v>
      </c>
      <c r="D25" s="8"/>
      <c r="E25" s="8"/>
      <c r="F25" s="8"/>
    </row>
    <row r="26" spans="1:9" x14ac:dyDescent="0.2">
      <c r="A26" s="11" t="s">
        <v>145</v>
      </c>
      <c r="B26" s="18" t="s">
        <v>29</v>
      </c>
      <c r="C26" s="19">
        <f>+E12/43560</f>
        <v>3.3408402203856751</v>
      </c>
      <c r="D26" s="8"/>
      <c r="E26" s="8"/>
      <c r="F26" s="8"/>
    </row>
    <row r="27" spans="1:9" x14ac:dyDescent="0.2">
      <c r="A27" s="8"/>
      <c r="B27" s="8" t="s">
        <v>128</v>
      </c>
      <c r="C27" s="8" t="s">
        <v>31</v>
      </c>
      <c r="D27" s="13">
        <f>+C26*D21*C17</f>
        <v>6.5064860021051762</v>
      </c>
      <c r="E27" s="8" t="s">
        <v>32</v>
      </c>
      <c r="F27" s="8"/>
    </row>
    <row r="29" spans="1:9" ht="13.5" thickBot="1" x14ac:dyDescent="0.25"/>
    <row r="30" spans="1:9" ht="13.5" thickBot="1" x14ac:dyDescent="0.25">
      <c r="A30" s="20"/>
      <c r="B30" s="119" t="s">
        <v>129</v>
      </c>
      <c r="C30" s="120">
        <f>+D27</f>
        <v>6.5064860021051762</v>
      </c>
      <c r="D30" s="121" t="s">
        <v>134</v>
      </c>
      <c r="E30" s="122"/>
      <c r="F30" s="123">
        <f>C30*0.9</f>
        <v>5.8558374018946591</v>
      </c>
    </row>
    <row r="31" spans="1:9" x14ac:dyDescent="0.2">
      <c r="A31" s="24"/>
      <c r="B31" s="25"/>
      <c r="C31" s="26"/>
      <c r="D31" s="25"/>
      <c r="E31" s="24"/>
      <c r="F31" s="24"/>
    </row>
    <row r="33" spans="1:9" x14ac:dyDescent="0.2">
      <c r="A33" s="7" t="s">
        <v>34</v>
      </c>
      <c r="B33" s="7"/>
      <c r="C33" s="7"/>
    </row>
    <row r="34" spans="1:9" x14ac:dyDescent="0.2">
      <c r="A34" s="7" t="s">
        <v>116</v>
      </c>
      <c r="B34" s="7"/>
      <c r="C34" s="7"/>
    </row>
    <row r="36" spans="1:9" x14ac:dyDescent="0.2">
      <c r="A36" s="8" t="s">
        <v>6</v>
      </c>
      <c r="B36" s="8"/>
      <c r="C36" s="8"/>
      <c r="D36" s="9" t="s">
        <v>7</v>
      </c>
      <c r="E36" s="9" t="s">
        <v>8</v>
      </c>
      <c r="F36" s="8" t="s">
        <v>9</v>
      </c>
    </row>
    <row r="37" spans="1:9" x14ac:dyDescent="0.2">
      <c r="A37" s="11" t="s">
        <v>11</v>
      </c>
      <c r="B37" s="8" t="s">
        <v>12</v>
      </c>
      <c r="C37" s="8"/>
      <c r="D37" s="8">
        <v>0.2</v>
      </c>
      <c r="E37" s="97">
        <f>'10 Year'!E50</f>
        <v>20202</v>
      </c>
      <c r="F37" s="13">
        <f>+E37*D37</f>
        <v>4040.4</v>
      </c>
    </row>
    <row r="38" spans="1:9" x14ac:dyDescent="0.2">
      <c r="A38" s="8"/>
      <c r="B38" s="8" t="s">
        <v>13</v>
      </c>
      <c r="C38" s="8"/>
      <c r="D38" s="8">
        <v>0.25</v>
      </c>
      <c r="E38" s="97">
        <f>'10 Year'!E51</f>
        <v>87649</v>
      </c>
      <c r="F38" s="13">
        <f>+E38*D38</f>
        <v>21912.25</v>
      </c>
    </row>
    <row r="39" spans="1:9" x14ac:dyDescent="0.2">
      <c r="A39" s="8"/>
      <c r="B39" s="8" t="s">
        <v>14</v>
      </c>
      <c r="C39" s="8"/>
      <c r="D39" s="13">
        <v>0.95</v>
      </c>
      <c r="E39" s="97">
        <f>'10 Year'!E52</f>
        <v>37676</v>
      </c>
      <c r="F39" s="13">
        <f>+E39*D39</f>
        <v>35792.199999999997</v>
      </c>
    </row>
    <row r="40" spans="1:9" x14ac:dyDescent="0.2">
      <c r="A40" s="8"/>
      <c r="B40" s="8"/>
      <c r="C40" s="8"/>
      <c r="D40" s="8"/>
      <c r="E40" s="12">
        <f>SUM(E37:E39)</f>
        <v>145527</v>
      </c>
      <c r="F40" s="13">
        <f>SUM(F37:F39)</f>
        <v>61744.85</v>
      </c>
    </row>
    <row r="41" spans="1:9" x14ac:dyDescent="0.2">
      <c r="A41" s="8"/>
      <c r="B41" s="8" t="s">
        <v>15</v>
      </c>
      <c r="C41" s="8"/>
      <c r="D41" s="19">
        <f>+F40/E40</f>
        <v>0.4242844970349145</v>
      </c>
      <c r="E41" s="8"/>
      <c r="F41" s="8"/>
    </row>
    <row r="42" spans="1:9" x14ac:dyDescent="0.2">
      <c r="A42" s="8"/>
      <c r="B42" s="8"/>
      <c r="C42" s="8"/>
      <c r="D42" s="8"/>
      <c r="E42" s="8"/>
      <c r="F42" s="8"/>
    </row>
    <row r="43" spans="1:9" x14ac:dyDescent="0.2">
      <c r="B43" s="8" t="s">
        <v>17</v>
      </c>
      <c r="C43" s="8">
        <v>328</v>
      </c>
      <c r="D43" s="8" t="s">
        <v>18</v>
      </c>
      <c r="E43" s="8"/>
      <c r="F43" s="8"/>
    </row>
    <row r="44" spans="1:9" x14ac:dyDescent="0.2">
      <c r="A44" s="8"/>
      <c r="B44" s="8" t="s">
        <v>19</v>
      </c>
      <c r="C44" s="15">
        <v>0.56000000000000005</v>
      </c>
      <c r="D44" s="8"/>
      <c r="E44" s="15"/>
      <c r="F44" s="8">
        <f>1.95/348</f>
        <v>5.6034482758620689E-3</v>
      </c>
    </row>
    <row r="45" spans="1:9" x14ac:dyDescent="0.2">
      <c r="A45" s="8"/>
      <c r="B45" s="8" t="s">
        <v>20</v>
      </c>
      <c r="C45" s="19">
        <f>+D41</f>
        <v>0.4242844970349145</v>
      </c>
      <c r="D45" s="8"/>
      <c r="E45" s="8"/>
      <c r="F45" s="8"/>
    </row>
    <row r="46" spans="1:9" x14ac:dyDescent="0.2">
      <c r="A46" s="8"/>
      <c r="B46" s="8" t="s">
        <v>21</v>
      </c>
      <c r="C46" s="8" t="s">
        <v>22</v>
      </c>
      <c r="D46" s="16">
        <f>0.7039*C47*D47*E47</f>
        <v>20.139372763007017</v>
      </c>
      <c r="E46" s="8" t="s">
        <v>23</v>
      </c>
      <c r="F46" s="8"/>
      <c r="G46" s="17"/>
      <c r="H46" s="17"/>
      <c r="I46" s="17"/>
    </row>
    <row r="47" spans="1:9" x14ac:dyDescent="0.2">
      <c r="A47" s="8"/>
      <c r="B47" s="8"/>
      <c r="C47" s="8">
        <f>+C43^0.3917</f>
        <v>9.6709198632272706</v>
      </c>
      <c r="D47" s="8">
        <f>+C45^-1.1309</f>
        <v>2.6368323244285881</v>
      </c>
      <c r="E47" s="8">
        <f>+C44^-0.1985</f>
        <v>1.1219788664395176</v>
      </c>
      <c r="F47" s="8"/>
    </row>
    <row r="48" spans="1:9" x14ac:dyDescent="0.2">
      <c r="A48" s="8"/>
      <c r="B48" s="8"/>
      <c r="C48" s="8"/>
      <c r="D48" s="8"/>
      <c r="E48" s="8"/>
      <c r="F48" s="8"/>
    </row>
    <row r="49" spans="1:6" x14ac:dyDescent="0.2">
      <c r="A49" s="11" t="s">
        <v>16</v>
      </c>
      <c r="B49" s="8" t="s">
        <v>24</v>
      </c>
      <c r="C49" s="8"/>
      <c r="D49" s="13">
        <f>+((C50+C52)^C53)*C51</f>
        <v>6.260513194358083</v>
      </c>
      <c r="E49" s="8"/>
      <c r="F49" s="8"/>
    </row>
    <row r="50" spans="1:6" x14ac:dyDescent="0.2">
      <c r="A50" s="8"/>
      <c r="B50" s="9" t="s">
        <v>25</v>
      </c>
      <c r="C50" s="8">
        <f>+D46/60</f>
        <v>0.33565621271678364</v>
      </c>
      <c r="D50" s="8"/>
      <c r="E50" s="8"/>
      <c r="F50" s="8"/>
    </row>
    <row r="51" spans="1:6" x14ac:dyDescent="0.2">
      <c r="A51" s="8"/>
      <c r="B51" s="9" t="s">
        <v>26</v>
      </c>
      <c r="C51" s="98">
        <f>C23</f>
        <v>4.6109999999999998</v>
      </c>
      <c r="D51" s="8"/>
      <c r="E51" s="8"/>
      <c r="F51" s="8"/>
    </row>
    <row r="52" spans="1:6" x14ac:dyDescent="0.2">
      <c r="A52" s="8"/>
      <c r="B52" s="9" t="s">
        <v>27</v>
      </c>
      <c r="C52" s="98">
        <f>C24</f>
        <v>0.34599999999999997</v>
      </c>
      <c r="D52" s="8"/>
      <c r="E52" s="8"/>
      <c r="F52" s="8"/>
    </row>
    <row r="53" spans="1:6" x14ac:dyDescent="0.2">
      <c r="A53" s="8"/>
      <c r="B53" s="9" t="s">
        <v>28</v>
      </c>
      <c r="C53" s="98">
        <f>C25</f>
        <v>-0.79800000000000004</v>
      </c>
      <c r="D53" s="8"/>
      <c r="E53" s="8"/>
      <c r="F53" s="8"/>
    </row>
    <row r="54" spans="1:6" x14ac:dyDescent="0.2">
      <c r="A54" s="11" t="s">
        <v>145</v>
      </c>
      <c r="B54" s="18" t="s">
        <v>29</v>
      </c>
      <c r="C54" s="19">
        <f>+C26</f>
        <v>3.3408402203856751</v>
      </c>
      <c r="D54" s="8"/>
      <c r="E54" s="8"/>
      <c r="F54" s="8"/>
    </row>
    <row r="55" spans="1:6" x14ac:dyDescent="0.2">
      <c r="A55" s="8"/>
      <c r="B55" s="8" t="s">
        <v>128</v>
      </c>
      <c r="C55" s="8" t="s">
        <v>31</v>
      </c>
      <c r="D55" s="13">
        <f>+C54*D49*C45</f>
        <v>8.874069056672651</v>
      </c>
      <c r="E55" s="8" t="s">
        <v>32</v>
      </c>
      <c r="F55" s="8"/>
    </row>
    <row r="57" spans="1:6" ht="13.5" thickBot="1" x14ac:dyDescent="0.25">
      <c r="A57" s="24"/>
      <c r="B57" s="21" t="s">
        <v>130</v>
      </c>
      <c r="C57" s="22">
        <f>+D55</f>
        <v>8.874069056672651</v>
      </c>
      <c r="D57" s="23" t="str">
        <f>+E55</f>
        <v>cfs</v>
      </c>
      <c r="E57" s="24"/>
      <c r="F57" s="24"/>
    </row>
    <row r="59" spans="1:6" ht="13.5" thickBot="1" x14ac:dyDescent="0.25">
      <c r="B59" s="21" t="s">
        <v>133</v>
      </c>
      <c r="C59" s="27"/>
      <c r="D59" s="27"/>
      <c r="E59" s="22">
        <f>F30</f>
        <v>5.8558374018946591</v>
      </c>
      <c r="F59" s="23" t="s">
        <v>32</v>
      </c>
    </row>
    <row r="60" spans="1:6" x14ac:dyDescent="0.2">
      <c r="B60" s="25"/>
      <c r="C60" s="25"/>
      <c r="D60" s="25"/>
      <c r="E60" s="26"/>
      <c r="F60" s="29"/>
    </row>
    <row r="62" spans="1:6" ht="16.5" thickBot="1" x14ac:dyDescent="0.3">
      <c r="A62" s="1" t="str">
        <f>A1</f>
        <v>JG Marine Shop</v>
      </c>
      <c r="B62" s="2"/>
      <c r="C62" s="2"/>
      <c r="D62" s="3"/>
      <c r="E62" s="3"/>
      <c r="F62" s="4"/>
    </row>
    <row r="63" spans="1:6" ht="15.75" thickBot="1" x14ac:dyDescent="0.25">
      <c r="A63" s="5" t="str">
        <f>A2</f>
        <v>Slidell, La</v>
      </c>
      <c r="B63" s="2"/>
      <c r="C63" s="2"/>
      <c r="D63" s="3"/>
      <c r="E63" s="3"/>
      <c r="F63" s="4"/>
    </row>
    <row r="65" spans="1:13" x14ac:dyDescent="0.2">
      <c r="A65" s="6" t="s">
        <v>3</v>
      </c>
    </row>
    <row r="66" spans="1:13" x14ac:dyDescent="0.2">
      <c r="A66" s="7" t="s">
        <v>135</v>
      </c>
    </row>
    <row r="67" spans="1:13" x14ac:dyDescent="0.2">
      <c r="A67" s="7"/>
      <c r="D67" s="30"/>
    </row>
    <row r="68" spans="1:13" ht="13.15" customHeight="1" x14ac:dyDescent="0.2">
      <c r="A68" s="7"/>
      <c r="B68" s="6" t="s">
        <v>38</v>
      </c>
      <c r="C68" s="155" t="s">
        <v>39</v>
      </c>
      <c r="D68" s="155"/>
      <c r="E68" s="155"/>
      <c r="F68" s="155"/>
    </row>
    <row r="69" spans="1:13" ht="16.5" customHeight="1" x14ac:dyDescent="0.2">
      <c r="A69" s="7"/>
      <c r="B69" s="6" t="s">
        <v>40</v>
      </c>
      <c r="C69" s="155"/>
      <c r="D69" s="155"/>
      <c r="E69" s="155"/>
      <c r="F69" s="155"/>
    </row>
    <row r="70" spans="1:13" ht="51" x14ac:dyDescent="0.2">
      <c r="A70" s="31" t="s">
        <v>41</v>
      </c>
      <c r="B70" s="18" t="s">
        <v>42</v>
      </c>
      <c r="C70" s="11" t="s">
        <v>43</v>
      </c>
      <c r="D70" s="11" t="s">
        <v>44</v>
      </c>
      <c r="E70" s="32" t="s">
        <v>45</v>
      </c>
      <c r="F70" s="32" t="s">
        <v>46</v>
      </c>
    </row>
    <row r="71" spans="1:13" x14ac:dyDescent="0.2">
      <c r="A71" s="9">
        <v>10</v>
      </c>
      <c r="B71" s="8" t="s">
        <v>47</v>
      </c>
      <c r="C71" s="13">
        <f t="shared" ref="C71:C81" si="0">((A71/60+$C$52)^$C$53)*$C$51</f>
        <v>7.8586279368153358</v>
      </c>
      <c r="D71" s="13">
        <f t="shared" ref="D71:D81" si="1">+C71*$C$54*$C$45</f>
        <v>11.139343506989725</v>
      </c>
      <c r="E71" s="12">
        <f t="shared" ref="E71:E81" si="2">+A71*D71*60-(0.5*$E$59*(A71+$D$46)*60)</f>
        <v>1388.8681153359848</v>
      </c>
      <c r="F71" s="33">
        <f t="shared" ref="F71:F81" si="3">E71*0.0000229569</f>
        <v>3.1884106436956668E-2</v>
      </c>
      <c r="L71" s="30"/>
    </row>
    <row r="72" spans="1:13" x14ac:dyDescent="0.2">
      <c r="A72" s="9">
        <v>15</v>
      </c>
      <c r="B72" s="8" t="s">
        <v>47</v>
      </c>
      <c r="C72" s="13">
        <f t="shared" si="0"/>
        <v>6.9686492665671613</v>
      </c>
      <c r="D72" s="13">
        <f t="shared" si="1"/>
        <v>9.8778283670064138</v>
      </c>
      <c r="E72" s="12">
        <f t="shared" si="2"/>
        <v>2716.9319311637246</v>
      </c>
      <c r="F72" s="33">
        <f t="shared" si="3"/>
        <v>6.2372334650532511E-2</v>
      </c>
      <c r="L72" s="30"/>
      <c r="M72" s="30"/>
    </row>
    <row r="73" spans="1:13" x14ac:dyDescent="0.2">
      <c r="A73" s="9">
        <v>20</v>
      </c>
      <c r="B73" s="8" t="s">
        <v>47</v>
      </c>
      <c r="C73" s="13">
        <f t="shared" si="0"/>
        <v>6.2775900046862301</v>
      </c>
      <c r="D73" s="13">
        <f t="shared" si="1"/>
        <v>8.8982748668698495</v>
      </c>
      <c r="E73" s="12">
        <f t="shared" si="2"/>
        <v>3626.4406308175703</v>
      </c>
      <c r="F73" s="33">
        <f t="shared" si="3"/>
        <v>8.3251834917615883E-2</v>
      </c>
      <c r="L73" s="30"/>
      <c r="M73" s="30"/>
    </row>
    <row r="74" spans="1:13" x14ac:dyDescent="0.2">
      <c r="A74" s="9">
        <v>25</v>
      </c>
      <c r="B74" s="8" t="s">
        <v>47</v>
      </c>
      <c r="C74" s="13">
        <f t="shared" si="0"/>
        <v>5.7238992311292058</v>
      </c>
      <c r="D74" s="13">
        <f t="shared" si="1"/>
        <v>8.1134366262899036</v>
      </c>
      <c r="E74" s="12">
        <f t="shared" si="2"/>
        <v>4240.2901197244091</v>
      </c>
      <c r="F74" s="33">
        <f t="shared" si="3"/>
        <v>9.7343916249501283E-2</v>
      </c>
      <c r="L74" s="30"/>
      <c r="M74" s="30"/>
    </row>
    <row r="75" spans="1:13" x14ac:dyDescent="0.2">
      <c r="A75" s="9">
        <v>30</v>
      </c>
      <c r="B75" s="8" t="s">
        <v>47</v>
      </c>
      <c r="C75" s="13">
        <f t="shared" si="0"/>
        <v>5.2693078537925659</v>
      </c>
      <c r="D75" s="13">
        <f t="shared" si="1"/>
        <v>7.4690684810891623</v>
      </c>
      <c r="E75" s="34">
        <f t="shared" si="2"/>
        <v>4636.0828359658444</v>
      </c>
      <c r="F75" s="33">
        <f t="shared" si="3"/>
        <v>0.1064300900569843</v>
      </c>
      <c r="L75" s="30"/>
      <c r="M75" s="30"/>
    </row>
    <row r="76" spans="1:13" x14ac:dyDescent="0.2">
      <c r="A76" s="138">
        <v>35</v>
      </c>
      <c r="B76" s="139" t="s">
        <v>47</v>
      </c>
      <c r="C76" s="140">
        <f t="shared" si="0"/>
        <v>4.8887097518755223</v>
      </c>
      <c r="D76" s="141">
        <f t="shared" si="1"/>
        <v>6.929583340750491</v>
      </c>
      <c r="E76" s="142">
        <f t="shared" si="2"/>
        <v>4865.5089752971853</v>
      </c>
      <c r="F76" s="143">
        <f t="shared" si="3"/>
        <v>0.11169700299499996</v>
      </c>
      <c r="J76" s="6"/>
      <c r="L76" s="30"/>
      <c r="M76" s="30"/>
    </row>
    <row r="77" spans="1:13" x14ac:dyDescent="0.2">
      <c r="A77" s="144">
        <v>40</v>
      </c>
      <c r="B77" s="145" t="s">
        <v>47</v>
      </c>
      <c r="C77" s="146">
        <f t="shared" si="0"/>
        <v>4.5649165571471224</v>
      </c>
      <c r="D77" s="146">
        <f t="shared" si="1"/>
        <v>6.4706172654629359</v>
      </c>
      <c r="E77" s="147">
        <f t="shared" si="2"/>
        <v>4964.4897865480034</v>
      </c>
      <c r="F77" s="148">
        <f t="shared" si="3"/>
        <v>0.11396929558080386</v>
      </c>
      <c r="L77" s="30"/>
      <c r="M77" s="30"/>
    </row>
    <row r="78" spans="1:13" x14ac:dyDescent="0.2">
      <c r="A78" s="9">
        <v>45</v>
      </c>
      <c r="B78" s="8" t="s">
        <v>47</v>
      </c>
      <c r="C78" s="13">
        <f t="shared" si="0"/>
        <v>4.2857447322829447</v>
      </c>
      <c r="D78" s="13">
        <f t="shared" si="1"/>
        <v>6.0749004966276541</v>
      </c>
      <c r="E78" s="12">
        <f t="shared" si="2"/>
        <v>4958.8640800474222</v>
      </c>
      <c r="F78" s="33">
        <f t="shared" si="3"/>
        <v>0.11384014679924066</v>
      </c>
      <c r="L78" s="30"/>
      <c r="M78" s="30"/>
    </row>
    <row r="79" spans="1:13" x14ac:dyDescent="0.2">
      <c r="A79" s="9">
        <v>50</v>
      </c>
      <c r="B79" s="8" t="s">
        <v>47</v>
      </c>
      <c r="C79" s="13">
        <f t="shared" si="0"/>
        <v>4.0423055350163581</v>
      </c>
      <c r="D79" s="13">
        <f t="shared" si="1"/>
        <v>5.7298335379649856</v>
      </c>
      <c r="E79" s="12">
        <f t="shared" si="2"/>
        <v>4867.7577427635169</v>
      </c>
      <c r="F79" s="33">
        <f t="shared" si="3"/>
        <v>0.11174862772484778</v>
      </c>
    </row>
    <row r="80" spans="1:13" x14ac:dyDescent="0.2">
      <c r="A80" s="9">
        <v>55</v>
      </c>
      <c r="B80" s="8" t="s">
        <v>47</v>
      </c>
      <c r="C80" s="13">
        <f t="shared" si="0"/>
        <v>3.8279541488067728</v>
      </c>
      <c r="D80" s="13">
        <f t="shared" si="1"/>
        <v>5.4259975832174447</v>
      </c>
      <c r="E80" s="12">
        <f t="shared" si="2"/>
        <v>4705.6735432019286</v>
      </c>
      <c r="F80" s="33">
        <f t="shared" si="3"/>
        <v>0.10802767696393235</v>
      </c>
    </row>
    <row r="81" spans="1:6" x14ac:dyDescent="0.2">
      <c r="A81" s="9">
        <v>60</v>
      </c>
      <c r="B81" s="8" t="s">
        <v>47</v>
      </c>
      <c r="C81" s="13">
        <f t="shared" si="0"/>
        <v>3.6376186215779986</v>
      </c>
      <c r="D81" s="13">
        <f t="shared" si="1"/>
        <v>5.1562033091492268</v>
      </c>
      <c r="E81" s="12">
        <f t="shared" si="2"/>
        <v>4483.8378212373791</v>
      </c>
      <c r="F81" s="33">
        <f t="shared" si="3"/>
        <v>0.10293501647836439</v>
      </c>
    </row>
    <row r="82" spans="1:6" x14ac:dyDescent="0.2">
      <c r="B82" s="42"/>
      <c r="C82" s="43"/>
      <c r="D82" s="44"/>
      <c r="E82" s="44"/>
      <c r="F82" s="45"/>
    </row>
    <row r="83" spans="1:6" x14ac:dyDescent="0.2">
      <c r="B83" s="42"/>
      <c r="C83" s="43"/>
      <c r="D83" s="44"/>
      <c r="E83" s="44"/>
      <c r="F83" s="45"/>
    </row>
    <row r="84" spans="1:6" x14ac:dyDescent="0.2">
      <c r="B84" s="42"/>
      <c r="C84" s="43"/>
      <c r="D84" s="44"/>
      <c r="E84" s="44"/>
      <c r="F84" s="45"/>
    </row>
    <row r="85" spans="1:6" x14ac:dyDescent="0.2">
      <c r="B85" s="42"/>
      <c r="C85" s="43"/>
      <c r="D85" s="44"/>
      <c r="E85" s="44"/>
      <c r="F85" s="45"/>
    </row>
    <row r="86" spans="1:6" x14ac:dyDescent="0.2">
      <c r="B86" s="42"/>
      <c r="C86" s="43"/>
      <c r="D86" s="44"/>
      <c r="E86" s="44"/>
      <c r="F86" s="45"/>
    </row>
    <row r="87" spans="1:6" x14ac:dyDescent="0.2">
      <c r="B87" s="42"/>
      <c r="C87" s="43"/>
      <c r="D87" s="44"/>
      <c r="E87" s="44"/>
      <c r="F87" s="45"/>
    </row>
    <row r="88" spans="1:6" x14ac:dyDescent="0.2">
      <c r="B88" s="42"/>
      <c r="C88" s="43"/>
      <c r="D88" s="44"/>
      <c r="E88" s="44"/>
      <c r="F88" s="45"/>
    </row>
    <row r="89" spans="1:6" x14ac:dyDescent="0.2">
      <c r="B89" s="42"/>
      <c r="C89" s="43"/>
      <c r="D89" s="44"/>
      <c r="E89" s="44"/>
      <c r="F89" s="45"/>
    </row>
    <row r="90" spans="1:6" x14ac:dyDescent="0.2">
      <c r="B90" s="42"/>
      <c r="C90" s="43"/>
      <c r="D90" s="44"/>
      <c r="E90" s="44"/>
      <c r="F90" s="45"/>
    </row>
    <row r="91" spans="1:6" x14ac:dyDescent="0.2">
      <c r="B91" s="42"/>
      <c r="C91" s="43"/>
      <c r="D91" s="44"/>
      <c r="E91" s="44"/>
      <c r="F91" s="45"/>
    </row>
    <row r="92" spans="1:6" x14ac:dyDescent="0.2">
      <c r="B92" s="42"/>
      <c r="C92" s="43"/>
      <c r="D92" s="44"/>
      <c r="E92" s="44"/>
      <c r="F92" s="45"/>
    </row>
    <row r="93" spans="1:6" x14ac:dyDescent="0.2">
      <c r="B93" s="42"/>
      <c r="C93" s="43"/>
      <c r="D93" s="44"/>
      <c r="E93" s="44"/>
      <c r="F93" s="45"/>
    </row>
    <row r="94" spans="1:6" x14ac:dyDescent="0.2">
      <c r="B94" s="42"/>
      <c r="C94" s="43"/>
      <c r="D94" s="44"/>
      <c r="E94" s="44"/>
      <c r="F94" s="45"/>
    </row>
    <row r="95" spans="1:6" x14ac:dyDescent="0.2">
      <c r="B95" s="42"/>
      <c r="C95" s="43"/>
      <c r="D95" s="44"/>
      <c r="E95" s="44"/>
      <c r="F95" s="45"/>
    </row>
    <row r="96" spans="1:6" x14ac:dyDescent="0.2">
      <c r="B96" s="42"/>
      <c r="C96" s="43"/>
      <c r="D96" s="44"/>
      <c r="E96" s="44"/>
      <c r="F96" s="45"/>
    </row>
    <row r="97" spans="1:15" x14ac:dyDescent="0.2">
      <c r="B97" s="42"/>
      <c r="C97" s="43"/>
      <c r="D97" s="44"/>
      <c r="E97" s="44"/>
      <c r="F97" s="45"/>
    </row>
    <row r="98" spans="1:15" ht="13.5" thickBot="1" x14ac:dyDescent="0.25">
      <c r="B98" s="42"/>
      <c r="C98" s="43"/>
      <c r="D98" s="44"/>
      <c r="E98" s="44"/>
      <c r="F98" s="45"/>
    </row>
    <row r="99" spans="1:15" x14ac:dyDescent="0.2">
      <c r="A99" s="99"/>
      <c r="B99" s="125"/>
      <c r="C99" s="125"/>
      <c r="D99" s="125"/>
      <c r="E99" s="125"/>
      <c r="F99" s="101"/>
      <c r="O99" s="6"/>
    </row>
    <row r="100" spans="1:15" x14ac:dyDescent="0.2">
      <c r="A100" s="126" t="s">
        <v>48</v>
      </c>
      <c r="B100" s="24"/>
      <c r="C100" s="118" t="s">
        <v>49</v>
      </c>
      <c r="D100" s="24"/>
      <c r="E100" s="24"/>
      <c r="F100" s="127" t="s">
        <v>142</v>
      </c>
    </row>
    <row r="101" spans="1:15" x14ac:dyDescent="0.2">
      <c r="A101" s="126"/>
      <c r="B101" s="24"/>
      <c r="C101" s="47" t="s">
        <v>51</v>
      </c>
      <c r="D101" s="24"/>
      <c r="E101" s="24"/>
      <c r="F101" s="127" t="s">
        <v>146</v>
      </c>
    </row>
    <row r="102" spans="1:15" x14ac:dyDescent="0.2">
      <c r="A102" s="165"/>
      <c r="B102" s="158"/>
      <c r="C102" s="158"/>
      <c r="D102" s="158"/>
      <c r="E102" s="158"/>
      <c r="F102" s="166"/>
    </row>
    <row r="103" spans="1:15" ht="12.75" customHeight="1" x14ac:dyDescent="0.2">
      <c r="A103" s="162" t="s">
        <v>143</v>
      </c>
      <c r="B103" s="163"/>
      <c r="C103" s="163"/>
      <c r="D103" s="164"/>
      <c r="E103" s="124">
        <v>25.26</v>
      </c>
      <c r="F103" s="128" t="s">
        <v>136</v>
      </c>
    </row>
    <row r="104" spans="1:15" x14ac:dyDescent="0.2">
      <c r="A104" s="129"/>
      <c r="B104" s="117"/>
      <c r="C104" s="117"/>
      <c r="D104" s="117"/>
      <c r="E104" s="117"/>
      <c r="F104" s="130"/>
    </row>
    <row r="105" spans="1:15" ht="14.25" customHeight="1" x14ac:dyDescent="0.2">
      <c r="A105" s="162" t="s">
        <v>144</v>
      </c>
      <c r="B105" s="163"/>
      <c r="C105" s="163"/>
      <c r="D105" s="164"/>
      <c r="E105" s="124">
        <f>100*0.8</f>
        <v>80</v>
      </c>
      <c r="F105" s="128" t="s">
        <v>139</v>
      </c>
    </row>
    <row r="106" spans="1:15" x14ac:dyDescent="0.2">
      <c r="A106" s="131"/>
      <c r="B106" s="24"/>
      <c r="C106" s="132"/>
      <c r="D106" s="24"/>
      <c r="E106" s="24"/>
      <c r="F106" s="133"/>
    </row>
    <row r="107" spans="1:15" ht="12.75" customHeight="1" x14ac:dyDescent="0.2">
      <c r="A107" s="160" t="s">
        <v>70</v>
      </c>
      <c r="B107" s="149"/>
      <c r="C107" s="63">
        <f>E103*E105</f>
        <v>2020.8000000000002</v>
      </c>
      <c r="D107" s="150" t="s">
        <v>71</v>
      </c>
      <c r="E107" s="150"/>
      <c r="F107" s="161"/>
      <c r="G107" s="24"/>
    </row>
    <row r="108" spans="1:15" x14ac:dyDescent="0.2">
      <c r="A108" s="131"/>
      <c r="B108" s="24"/>
      <c r="C108" s="24"/>
      <c r="D108" s="150"/>
      <c r="E108" s="150"/>
      <c r="F108" s="161"/>
      <c r="G108" s="24"/>
    </row>
    <row r="109" spans="1:15" ht="13.5" thickBot="1" x14ac:dyDescent="0.25">
      <c r="A109" s="134"/>
      <c r="B109" s="135"/>
      <c r="C109" s="135"/>
      <c r="D109" s="136"/>
      <c r="E109" s="136"/>
      <c r="F109" s="137"/>
      <c r="G109" s="24"/>
    </row>
    <row r="110" spans="1:15" ht="13.5" thickBot="1" x14ac:dyDescent="0.25">
      <c r="A110" s="24"/>
      <c r="B110" s="24"/>
      <c r="C110" s="24"/>
      <c r="D110" s="64"/>
      <c r="E110" s="64"/>
      <c r="F110" s="64"/>
      <c r="G110" s="24"/>
    </row>
    <row r="111" spans="1:15" ht="16.5" thickBot="1" x14ac:dyDescent="0.3">
      <c r="A111" s="1" t="str">
        <f>A1</f>
        <v>JG Marine Shop</v>
      </c>
      <c r="B111" s="2"/>
      <c r="C111" s="2"/>
      <c r="D111" s="3"/>
      <c r="E111" s="3"/>
      <c r="F111" s="4"/>
      <c r="G111" s="24"/>
    </row>
    <row r="112" spans="1:15" ht="15.75" thickBot="1" x14ac:dyDescent="0.25">
      <c r="A112" s="5" t="str">
        <f>A2</f>
        <v>Slidell, La</v>
      </c>
      <c r="B112" s="2"/>
      <c r="C112" s="2"/>
      <c r="D112" s="3"/>
      <c r="E112" s="3"/>
      <c r="F112" s="4"/>
      <c r="G112" s="24"/>
    </row>
    <row r="113" spans="1:15" x14ac:dyDescent="0.2">
      <c r="A113" s="24"/>
      <c r="B113" s="24"/>
      <c r="C113" s="24"/>
      <c r="D113" s="64"/>
      <c r="E113" s="64"/>
      <c r="F113" s="64"/>
      <c r="G113" s="24"/>
    </row>
    <row r="114" spans="1:15" x14ac:dyDescent="0.2">
      <c r="B114" s="6" t="s">
        <v>72</v>
      </c>
      <c r="D114" t="s">
        <v>73</v>
      </c>
      <c r="I114" s="6"/>
      <c r="O114" s="6"/>
    </row>
    <row r="116" spans="1:15" x14ac:dyDescent="0.2">
      <c r="B116" s="6" t="s">
        <v>78</v>
      </c>
      <c r="C116" s="30">
        <f>+E59</f>
        <v>5.8558374018946591</v>
      </c>
      <c r="D116" s="6" t="s">
        <v>32</v>
      </c>
      <c r="F116" s="6"/>
    </row>
    <row r="117" spans="1:15" x14ac:dyDescent="0.2">
      <c r="B117" s="6" t="s">
        <v>81</v>
      </c>
      <c r="C117">
        <v>0.98</v>
      </c>
      <c r="J117" s="58"/>
      <c r="K117" s="6"/>
      <c r="L117" s="58"/>
    </row>
    <row r="118" spans="1:15" x14ac:dyDescent="0.2">
      <c r="B118" s="6" t="s">
        <v>83</v>
      </c>
      <c r="C118">
        <v>32.200000000000003</v>
      </c>
      <c r="D118" s="6" t="s">
        <v>84</v>
      </c>
    </row>
    <row r="119" spans="1:15" x14ac:dyDescent="0.2">
      <c r="B119" s="6" t="s">
        <v>87</v>
      </c>
      <c r="C119">
        <v>0.5</v>
      </c>
      <c r="D119" s="6" t="s">
        <v>88</v>
      </c>
    </row>
    <row r="120" spans="1:15" x14ac:dyDescent="0.2">
      <c r="B120" s="6" t="s">
        <v>138</v>
      </c>
      <c r="C120" s="30">
        <f>+C116/C117/I120</f>
        <v>1.0530160668956878</v>
      </c>
      <c r="D120" s="6" t="s">
        <v>136</v>
      </c>
      <c r="I120" s="66">
        <f>(+C119*2*C118)^0.5</f>
        <v>5.6745043836444431</v>
      </c>
    </row>
    <row r="121" spans="1:15" x14ac:dyDescent="0.2">
      <c r="B121" s="6"/>
      <c r="C121" s="30"/>
      <c r="D121" s="6"/>
      <c r="I121" s="66"/>
    </row>
    <row r="122" spans="1:15" x14ac:dyDescent="0.2">
      <c r="A122" s="29" t="s">
        <v>140</v>
      </c>
      <c r="C122" s="44"/>
      <c r="D122" s="24"/>
      <c r="E122" s="24"/>
      <c r="F122" s="24"/>
    </row>
    <row r="123" spans="1:15" x14ac:dyDescent="0.2">
      <c r="B123" s="68" t="s">
        <v>96</v>
      </c>
      <c r="C123" s="30">
        <f>+((C120/3.14/3)^0.5)*2*12</f>
        <v>8.0242285349361033</v>
      </c>
      <c r="D123" s="6" t="s">
        <v>137</v>
      </c>
      <c r="L123" s="6"/>
    </row>
    <row r="124" spans="1:15" x14ac:dyDescent="0.2">
      <c r="C124" s="62"/>
      <c r="L124" s="6"/>
    </row>
    <row r="125" spans="1:15" x14ac:dyDescent="0.2">
      <c r="B125" s="159" t="s">
        <v>141</v>
      </c>
      <c r="C125" s="159"/>
      <c r="D125" s="159"/>
      <c r="E125" s="159"/>
      <c r="L125" s="6"/>
    </row>
    <row r="127" spans="1:15" x14ac:dyDescent="0.2">
      <c r="A127" s="7"/>
      <c r="C127" s="30"/>
    </row>
    <row r="128" spans="1:15" x14ac:dyDescent="0.2">
      <c r="B128" s="6"/>
    </row>
    <row r="129" spans="9:15" x14ac:dyDescent="0.2">
      <c r="I129" s="6"/>
      <c r="K129" s="6"/>
      <c r="O129" s="6"/>
    </row>
    <row r="141" spans="9:15" ht="63.75" x14ac:dyDescent="0.2">
      <c r="I141" t="s">
        <v>105</v>
      </c>
      <c r="K141" s="69" t="s">
        <v>106</v>
      </c>
      <c r="L141" s="69" t="s">
        <v>107</v>
      </c>
      <c r="M141" s="69" t="s">
        <v>108</v>
      </c>
    </row>
    <row r="142" spans="9:15" x14ac:dyDescent="0.2">
      <c r="I142" s="17">
        <v>0</v>
      </c>
      <c r="K142">
        <f>0</f>
        <v>0</v>
      </c>
      <c r="L142">
        <v>0</v>
      </c>
      <c r="M142">
        <v>0</v>
      </c>
    </row>
    <row r="143" spans="9:15" x14ac:dyDescent="0.2">
      <c r="I143">
        <f t="shared" ref="I143:I181" si="4">I142+0.1</f>
        <v>0.1</v>
      </c>
      <c r="K143" s="70">
        <v>3</v>
      </c>
    </row>
    <row r="144" spans="9:15" x14ac:dyDescent="0.2">
      <c r="I144">
        <f t="shared" si="4"/>
        <v>0.2</v>
      </c>
      <c r="K144" s="70">
        <v>3.8</v>
      </c>
    </row>
    <row r="145" spans="9:11" x14ac:dyDescent="0.2">
      <c r="I145">
        <f t="shared" si="4"/>
        <v>0.30000000000000004</v>
      </c>
      <c r="K145" s="70">
        <v>4.24</v>
      </c>
    </row>
    <row r="146" spans="9:11" x14ac:dyDescent="0.2">
      <c r="I146">
        <f t="shared" si="4"/>
        <v>0.4</v>
      </c>
      <c r="K146" s="70">
        <v>4.24</v>
      </c>
    </row>
    <row r="147" spans="9:11" x14ac:dyDescent="0.2">
      <c r="I147">
        <f t="shared" si="4"/>
        <v>0.5</v>
      </c>
      <c r="K147" s="70">
        <v>4.24</v>
      </c>
    </row>
    <row r="148" spans="9:11" x14ac:dyDescent="0.2">
      <c r="I148">
        <f t="shared" si="4"/>
        <v>0.6</v>
      </c>
      <c r="K148" s="70">
        <v>4.24</v>
      </c>
    </row>
    <row r="149" spans="9:11" x14ac:dyDescent="0.2">
      <c r="I149">
        <f t="shared" si="4"/>
        <v>0.7</v>
      </c>
      <c r="K149" s="70">
        <v>4</v>
      </c>
    </row>
    <row r="150" spans="9:11" x14ac:dyDescent="0.2">
      <c r="I150">
        <f t="shared" si="4"/>
        <v>0.79999999999999993</v>
      </c>
      <c r="K150" s="70">
        <v>3</v>
      </c>
    </row>
    <row r="151" spans="9:11" x14ac:dyDescent="0.2">
      <c r="I151">
        <f t="shared" si="4"/>
        <v>0.89999999999999991</v>
      </c>
      <c r="K151" s="70">
        <v>2</v>
      </c>
    </row>
    <row r="152" spans="9:11" x14ac:dyDescent="0.2">
      <c r="I152">
        <f t="shared" si="4"/>
        <v>0.99999999999999989</v>
      </c>
      <c r="K152" s="70">
        <v>1</v>
      </c>
    </row>
    <row r="153" spans="9:11" x14ac:dyDescent="0.2">
      <c r="I153">
        <f t="shared" si="4"/>
        <v>1.0999999999999999</v>
      </c>
      <c r="K153">
        <v>0</v>
      </c>
    </row>
    <row r="154" spans="9:11" x14ac:dyDescent="0.2">
      <c r="I154">
        <f t="shared" si="4"/>
        <v>1.2</v>
      </c>
    </row>
    <row r="155" spans="9:11" x14ac:dyDescent="0.2">
      <c r="I155">
        <f t="shared" si="4"/>
        <v>1.3</v>
      </c>
    </row>
    <row r="156" spans="9:11" x14ac:dyDescent="0.2">
      <c r="I156">
        <f t="shared" si="4"/>
        <v>1.4000000000000001</v>
      </c>
    </row>
    <row r="157" spans="9:11" x14ac:dyDescent="0.2">
      <c r="I157">
        <f t="shared" si="4"/>
        <v>1.5000000000000002</v>
      </c>
    </row>
    <row r="158" spans="9:11" x14ac:dyDescent="0.2">
      <c r="I158">
        <f t="shared" si="4"/>
        <v>1.6000000000000003</v>
      </c>
    </row>
    <row r="159" spans="9:11" x14ac:dyDescent="0.2">
      <c r="I159">
        <f t="shared" si="4"/>
        <v>1.7000000000000004</v>
      </c>
    </row>
    <row r="160" spans="9:11" x14ac:dyDescent="0.2">
      <c r="I160">
        <f t="shared" si="4"/>
        <v>1.8000000000000005</v>
      </c>
    </row>
    <row r="161" spans="9:9" x14ac:dyDescent="0.2">
      <c r="I161">
        <f t="shared" si="4"/>
        <v>1.9000000000000006</v>
      </c>
    </row>
    <row r="162" spans="9:9" x14ac:dyDescent="0.2">
      <c r="I162">
        <f t="shared" si="4"/>
        <v>2.0000000000000004</v>
      </c>
    </row>
    <row r="163" spans="9:9" x14ac:dyDescent="0.2">
      <c r="I163">
        <f t="shared" si="4"/>
        <v>2.1000000000000005</v>
      </c>
    </row>
    <row r="164" spans="9:9" x14ac:dyDescent="0.2">
      <c r="I164">
        <f t="shared" si="4"/>
        <v>2.2000000000000006</v>
      </c>
    </row>
    <row r="165" spans="9:9" x14ac:dyDescent="0.2">
      <c r="I165">
        <f t="shared" si="4"/>
        <v>2.3000000000000007</v>
      </c>
    </row>
    <row r="166" spans="9:9" x14ac:dyDescent="0.2">
      <c r="I166">
        <f t="shared" si="4"/>
        <v>2.4000000000000008</v>
      </c>
    </row>
    <row r="167" spans="9:9" x14ac:dyDescent="0.2">
      <c r="I167">
        <f t="shared" si="4"/>
        <v>2.5000000000000009</v>
      </c>
    </row>
    <row r="168" spans="9:9" x14ac:dyDescent="0.2">
      <c r="I168">
        <f t="shared" si="4"/>
        <v>2.600000000000001</v>
      </c>
    </row>
    <row r="169" spans="9:9" x14ac:dyDescent="0.2">
      <c r="I169">
        <f t="shared" si="4"/>
        <v>2.7000000000000011</v>
      </c>
    </row>
    <row r="170" spans="9:9" x14ac:dyDescent="0.2">
      <c r="I170">
        <f t="shared" si="4"/>
        <v>2.8000000000000012</v>
      </c>
    </row>
    <row r="171" spans="9:9" x14ac:dyDescent="0.2">
      <c r="I171">
        <f t="shared" si="4"/>
        <v>2.9000000000000012</v>
      </c>
    </row>
    <row r="172" spans="9:9" x14ac:dyDescent="0.2">
      <c r="I172">
        <f t="shared" si="4"/>
        <v>3.0000000000000013</v>
      </c>
    </row>
    <row r="173" spans="9:9" x14ac:dyDescent="0.2">
      <c r="I173">
        <f t="shared" si="4"/>
        <v>3.1000000000000014</v>
      </c>
    </row>
    <row r="174" spans="9:9" x14ac:dyDescent="0.2">
      <c r="I174">
        <f t="shared" si="4"/>
        <v>3.2000000000000015</v>
      </c>
    </row>
    <row r="175" spans="9:9" x14ac:dyDescent="0.2">
      <c r="I175">
        <f t="shared" si="4"/>
        <v>3.3000000000000016</v>
      </c>
    </row>
    <row r="176" spans="9:9" x14ac:dyDescent="0.2">
      <c r="I176">
        <f t="shared" si="4"/>
        <v>3.4000000000000017</v>
      </c>
    </row>
    <row r="177" spans="9:9" x14ac:dyDescent="0.2">
      <c r="I177">
        <f t="shared" si="4"/>
        <v>3.5000000000000018</v>
      </c>
    </row>
    <row r="178" spans="9:9" x14ac:dyDescent="0.2">
      <c r="I178">
        <f t="shared" si="4"/>
        <v>3.6000000000000019</v>
      </c>
    </row>
    <row r="179" spans="9:9" x14ac:dyDescent="0.2">
      <c r="I179">
        <f t="shared" si="4"/>
        <v>3.700000000000002</v>
      </c>
    </row>
    <row r="180" spans="9:9" x14ac:dyDescent="0.2">
      <c r="I180">
        <f t="shared" si="4"/>
        <v>3.800000000000002</v>
      </c>
    </row>
    <row r="181" spans="9:9" x14ac:dyDescent="0.2">
      <c r="I181">
        <f t="shared" si="4"/>
        <v>3.9000000000000021</v>
      </c>
    </row>
  </sheetData>
  <sheetProtection selectLockedCells="1" selectUnlockedCells="1"/>
  <mergeCells count="8">
    <mergeCell ref="A2:F2"/>
    <mergeCell ref="C68:F69"/>
    <mergeCell ref="B125:E125"/>
    <mergeCell ref="A107:B107"/>
    <mergeCell ref="D107:F108"/>
    <mergeCell ref="A103:D103"/>
    <mergeCell ref="A105:D105"/>
    <mergeCell ref="A102:F102"/>
  </mergeCells>
  <pageMargins left="0.75" right="0.75" top="0.39027777777777778" bottom="0.30972222222222223" header="0.51180555555555551" footer="0.51180555555555551"/>
  <pageSetup scale="135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4"/>
  <sheetViews>
    <sheetView workbookViewId="0">
      <selection activeCell="A3" sqref="A3:IV3"/>
    </sheetView>
  </sheetViews>
  <sheetFormatPr defaultColWidth="9" defaultRowHeight="12.75" x14ac:dyDescent="0.2"/>
  <cols>
    <col min="1" max="1" width="9" customWidth="1"/>
    <col min="2" max="2" width="20.28515625" customWidth="1"/>
    <col min="3" max="3" width="9.28515625" customWidth="1"/>
    <col min="4" max="4" width="9.5703125" customWidth="1"/>
    <col min="5" max="7" width="9" customWidth="1"/>
    <col min="8" max="8" width="12.28515625" customWidth="1"/>
  </cols>
  <sheetData>
    <row r="1" spans="1:6" ht="15.75" x14ac:dyDescent="0.25">
      <c r="A1" s="1" t="str">
        <f>'10 Year'!A1</f>
        <v>JG Marine Shop</v>
      </c>
      <c r="B1" s="2"/>
      <c r="C1" s="2"/>
      <c r="D1" s="3"/>
      <c r="E1" s="3"/>
      <c r="F1" s="4"/>
    </row>
    <row r="2" spans="1:6" ht="15" x14ac:dyDescent="0.2">
      <c r="A2" s="5" t="str">
        <f>'10 Year'!A2:F2</f>
        <v>Slidell, La</v>
      </c>
      <c r="B2" s="2"/>
      <c r="C2" s="2"/>
      <c r="D2" s="3"/>
      <c r="E2" s="3"/>
      <c r="F2" s="4"/>
    </row>
    <row r="4" spans="1:6" x14ac:dyDescent="0.2">
      <c r="A4" s="6" t="s">
        <v>3</v>
      </c>
    </row>
    <row r="5" spans="1:6" x14ac:dyDescent="0.2">
      <c r="A5" s="7" t="s">
        <v>4</v>
      </c>
      <c r="B5" s="7"/>
      <c r="C5" s="7"/>
    </row>
    <row r="6" spans="1:6" x14ac:dyDescent="0.2">
      <c r="A6" s="7" t="s">
        <v>109</v>
      </c>
      <c r="B6" s="7"/>
      <c r="C6" s="7"/>
    </row>
    <row r="8" spans="1:6" x14ac:dyDescent="0.2">
      <c r="A8" s="8" t="s">
        <v>6</v>
      </c>
      <c r="B8" s="8"/>
      <c r="C8" s="8"/>
      <c r="D8" s="9" t="s">
        <v>7</v>
      </c>
      <c r="E8" s="9" t="s">
        <v>8</v>
      </c>
      <c r="F8" s="8" t="s">
        <v>9</v>
      </c>
    </row>
    <row r="9" spans="1:6" x14ac:dyDescent="0.2">
      <c r="A9" s="11" t="s">
        <v>11</v>
      </c>
      <c r="B9" s="8" t="s">
        <v>12</v>
      </c>
      <c r="C9" s="8"/>
      <c r="D9" s="8">
        <v>0.2</v>
      </c>
      <c r="E9" s="12">
        <v>58784</v>
      </c>
      <c r="F9" s="8">
        <f>+E9*D9</f>
        <v>11756.800000000001</v>
      </c>
    </row>
    <row r="10" spans="1:6" x14ac:dyDescent="0.2">
      <c r="A10" s="8"/>
      <c r="B10" s="8" t="s">
        <v>13</v>
      </c>
      <c r="C10" s="8"/>
      <c r="D10" s="8">
        <v>0.25</v>
      </c>
      <c r="E10" s="12">
        <v>8100</v>
      </c>
      <c r="F10" s="8">
        <f>+E10*D10</f>
        <v>2025</v>
      </c>
    </row>
    <row r="11" spans="1:6" x14ac:dyDescent="0.2">
      <c r="A11" s="8"/>
      <c r="B11" s="8" t="s">
        <v>14</v>
      </c>
      <c r="C11" s="8"/>
      <c r="D11" s="13">
        <v>0.95</v>
      </c>
      <c r="E11" s="12">
        <v>15606</v>
      </c>
      <c r="F11" s="8">
        <f>+E11*D11</f>
        <v>14825.699999999999</v>
      </c>
    </row>
    <row r="12" spans="1:6" x14ac:dyDescent="0.2">
      <c r="A12" s="8"/>
      <c r="B12" s="8"/>
      <c r="C12" s="8"/>
      <c r="D12" s="8"/>
      <c r="E12" s="12">
        <f>SUM(E9:E11)</f>
        <v>82490</v>
      </c>
      <c r="F12" s="8">
        <f>SUM(F9:F11)</f>
        <v>28607.5</v>
      </c>
    </row>
    <row r="13" spans="1:6" x14ac:dyDescent="0.2">
      <c r="A13" s="8"/>
      <c r="B13" s="8" t="s">
        <v>15</v>
      </c>
      <c r="C13" s="8"/>
      <c r="D13" s="13">
        <f>+F12/E12</f>
        <v>0.3467996120741908</v>
      </c>
      <c r="E13" s="8"/>
      <c r="F13" s="8"/>
    </row>
    <row r="14" spans="1:6" x14ac:dyDescent="0.2">
      <c r="A14" s="8"/>
      <c r="B14" s="8"/>
      <c r="C14" s="8"/>
      <c r="D14" s="8"/>
      <c r="E14" s="8"/>
      <c r="F14" s="8"/>
    </row>
    <row r="15" spans="1:6" x14ac:dyDescent="0.2">
      <c r="A15" s="11" t="s">
        <v>16</v>
      </c>
      <c r="B15" s="8" t="s">
        <v>17</v>
      </c>
      <c r="C15" s="8">
        <v>316</v>
      </c>
      <c r="D15" s="8" t="s">
        <v>18</v>
      </c>
      <c r="E15" s="8"/>
      <c r="F15" s="14"/>
    </row>
    <row r="16" spans="1:6" x14ac:dyDescent="0.2">
      <c r="A16" s="8"/>
      <c r="B16" s="8" t="s">
        <v>19</v>
      </c>
      <c r="C16" s="15">
        <f>+F16*100</f>
        <v>0.37974683544303794</v>
      </c>
      <c r="D16" s="8"/>
      <c r="E16" s="15"/>
      <c r="F16" s="8">
        <f>1.2/316</f>
        <v>3.7974683544303796E-3</v>
      </c>
    </row>
    <row r="17" spans="1:9" x14ac:dyDescent="0.2">
      <c r="A17" s="8"/>
      <c r="B17" s="8" t="s">
        <v>20</v>
      </c>
      <c r="C17" s="13">
        <f>+D13</f>
        <v>0.3467996120741908</v>
      </c>
      <c r="D17" s="8"/>
      <c r="E17" s="8"/>
      <c r="F17" s="8"/>
    </row>
    <row r="18" spans="1:9" x14ac:dyDescent="0.2">
      <c r="A18" s="8"/>
      <c r="B18" s="8" t="s">
        <v>21</v>
      </c>
      <c r="C18" s="8" t="s">
        <v>22</v>
      </c>
      <c r="D18" s="16">
        <f>0.7039*C19*D19*E19</f>
        <v>26.92984860458898</v>
      </c>
      <c r="E18" s="8" t="s">
        <v>23</v>
      </c>
      <c r="F18" s="8"/>
      <c r="G18" s="17"/>
      <c r="H18" s="17"/>
      <c r="I18" s="17"/>
    </row>
    <row r="19" spans="1:9" x14ac:dyDescent="0.2">
      <c r="A19" s="8"/>
      <c r="B19" s="8"/>
      <c r="C19" s="8">
        <f>+C15^0.3917</f>
        <v>9.5307577356051549</v>
      </c>
      <c r="D19" s="8">
        <f>+C17^-1.1309</f>
        <v>3.312265246588102</v>
      </c>
      <c r="E19" s="8">
        <f>+C16^-0.1985</f>
        <v>1.211910110272429</v>
      </c>
      <c r="F19" s="8"/>
    </row>
    <row r="20" spans="1:9" x14ac:dyDescent="0.2">
      <c r="A20" s="8"/>
      <c r="B20" s="8"/>
      <c r="C20" s="8"/>
      <c r="D20" s="8"/>
      <c r="E20" s="8"/>
      <c r="F20" s="8"/>
    </row>
    <row r="21" spans="1:9" x14ac:dyDescent="0.2">
      <c r="A21" s="8"/>
      <c r="B21" s="8" t="s">
        <v>24</v>
      </c>
      <c r="C21" s="8"/>
      <c r="D21" s="13">
        <f>+((C22+C24)^C25)*C23</f>
        <v>6.6075584952532278</v>
      </c>
      <c r="E21" s="8"/>
      <c r="F21" s="8"/>
    </row>
    <row r="22" spans="1:9" x14ac:dyDescent="0.2">
      <c r="A22" s="8"/>
      <c r="B22" s="9" t="s">
        <v>25</v>
      </c>
      <c r="C22" s="8">
        <f>+D18/60</f>
        <v>0.44883081007648301</v>
      </c>
      <c r="D22" s="8"/>
      <c r="E22" s="8"/>
      <c r="F22" s="8"/>
    </row>
    <row r="23" spans="1:9" x14ac:dyDescent="0.2">
      <c r="A23" s="8"/>
      <c r="B23" s="9" t="s">
        <v>26</v>
      </c>
      <c r="C23" s="8">
        <v>5.4870000000000001</v>
      </c>
      <c r="D23" s="8"/>
      <c r="E23" s="8"/>
      <c r="F23" s="8"/>
    </row>
    <row r="24" spans="1:9" x14ac:dyDescent="0.2">
      <c r="A24" s="8"/>
      <c r="B24" s="9" t="s">
        <v>27</v>
      </c>
      <c r="C24" s="8">
        <v>0.33400000000000002</v>
      </c>
      <c r="D24" s="8"/>
      <c r="E24" s="8"/>
      <c r="F24" s="8"/>
    </row>
    <row r="25" spans="1:9" x14ac:dyDescent="0.2">
      <c r="A25" s="8"/>
      <c r="B25" s="9" t="s">
        <v>28</v>
      </c>
      <c r="C25" s="8">
        <v>-0.75900000000000001</v>
      </c>
      <c r="D25" s="8"/>
      <c r="E25" s="8"/>
      <c r="F25" s="8"/>
    </row>
    <row r="26" spans="1:9" x14ac:dyDescent="0.2">
      <c r="A26" s="8"/>
      <c r="B26" s="18" t="s">
        <v>29</v>
      </c>
      <c r="C26" s="19">
        <f>+E12/43560</f>
        <v>1.8937098255280074</v>
      </c>
      <c r="D26" s="8"/>
      <c r="E26" s="8"/>
      <c r="F26" s="8"/>
    </row>
    <row r="27" spans="1:9" x14ac:dyDescent="0.2">
      <c r="A27" s="8"/>
      <c r="B27" s="8" t="s">
        <v>110</v>
      </c>
      <c r="C27" s="8" t="s">
        <v>31</v>
      </c>
      <c r="D27" s="13">
        <f>+C26*D21*C17</f>
        <v>4.3394336467620915</v>
      </c>
      <c r="E27" s="8" t="s">
        <v>32</v>
      </c>
      <c r="F27" s="8"/>
    </row>
    <row r="30" spans="1:9" x14ac:dyDescent="0.2">
      <c r="A30" s="24"/>
      <c r="B30" s="21" t="s">
        <v>111</v>
      </c>
      <c r="C30" s="22">
        <f>+D27</f>
        <v>4.3394336467620915</v>
      </c>
      <c r="D30" s="23" t="s">
        <v>32</v>
      </c>
      <c r="E30" s="24"/>
      <c r="F30" s="24"/>
    </row>
    <row r="31" spans="1:9" x14ac:dyDescent="0.2">
      <c r="A31" s="24"/>
      <c r="B31" s="25"/>
      <c r="C31" s="26"/>
      <c r="D31" s="25"/>
      <c r="E31" s="24"/>
      <c r="F31" s="24"/>
    </row>
    <row r="32" spans="1:9" x14ac:dyDescent="0.2">
      <c r="A32" s="24"/>
      <c r="B32" s="25"/>
      <c r="C32" s="26"/>
      <c r="D32" s="25"/>
      <c r="E32" s="24"/>
      <c r="F32" s="24"/>
    </row>
    <row r="33" spans="1:7" x14ac:dyDescent="0.2">
      <c r="A33" s="24"/>
      <c r="B33" s="25"/>
      <c r="C33" s="26"/>
      <c r="D33" s="25"/>
      <c r="E33" s="24"/>
      <c r="F33" s="24"/>
    </row>
    <row r="34" spans="1:7" x14ac:dyDescent="0.2">
      <c r="A34" s="24"/>
      <c r="B34" s="25"/>
      <c r="C34" s="26"/>
      <c r="D34" s="25"/>
      <c r="E34" s="24"/>
      <c r="F34" s="24"/>
    </row>
    <row r="35" spans="1:7" x14ac:dyDescent="0.2">
      <c r="A35" s="24"/>
      <c r="B35" s="25"/>
      <c r="C35" s="26"/>
      <c r="D35" s="25"/>
      <c r="E35" s="24"/>
      <c r="F35" s="24"/>
    </row>
    <row r="36" spans="1:7" x14ac:dyDescent="0.2">
      <c r="A36" s="24"/>
      <c r="B36" s="25"/>
      <c r="C36" s="26"/>
      <c r="D36" s="25"/>
      <c r="E36" s="24"/>
      <c r="F36" s="24"/>
    </row>
    <row r="37" spans="1:7" x14ac:dyDescent="0.2">
      <c r="A37" s="24"/>
      <c r="B37" s="25"/>
      <c r="C37" s="26"/>
      <c r="D37" s="25"/>
      <c r="E37" s="24"/>
      <c r="F37" s="24"/>
    </row>
    <row r="38" spans="1:7" x14ac:dyDescent="0.2">
      <c r="A38" s="24"/>
      <c r="B38" s="25"/>
      <c r="C38" s="26"/>
      <c r="D38" s="25"/>
      <c r="E38" s="24"/>
      <c r="F38" s="24"/>
    </row>
    <row r="39" spans="1:7" x14ac:dyDescent="0.2">
      <c r="A39" s="24"/>
      <c r="B39" s="25"/>
      <c r="C39" s="26"/>
      <c r="D39" s="25"/>
      <c r="E39" s="24"/>
      <c r="F39" s="24"/>
    </row>
    <row r="40" spans="1:7" x14ac:dyDescent="0.2">
      <c r="A40" s="24"/>
      <c r="B40" s="25"/>
      <c r="C40" s="26"/>
      <c r="D40" s="25"/>
      <c r="E40" s="24"/>
      <c r="F40" s="24"/>
    </row>
    <row r="41" spans="1:7" x14ac:dyDescent="0.2">
      <c r="A41" s="24"/>
      <c r="B41" s="25"/>
      <c r="C41" s="26"/>
      <c r="D41" s="25"/>
      <c r="E41" s="24"/>
      <c r="F41" s="24"/>
    </row>
    <row r="42" spans="1:7" x14ac:dyDescent="0.2">
      <c r="A42" s="24"/>
      <c r="B42" s="25"/>
      <c r="C42" s="26"/>
      <c r="D42" s="25"/>
      <c r="E42" s="24"/>
      <c r="F42" s="24"/>
    </row>
    <row r="43" spans="1:7" x14ac:dyDescent="0.2">
      <c r="A43" s="24"/>
      <c r="B43" s="25"/>
      <c r="C43" s="26"/>
      <c r="D43" s="25"/>
      <c r="E43" s="24"/>
      <c r="F43" s="24"/>
    </row>
    <row r="44" spans="1:7" x14ac:dyDescent="0.2">
      <c r="A44" s="24"/>
      <c r="B44" s="25"/>
      <c r="C44" s="26"/>
      <c r="D44" s="25"/>
      <c r="E44" s="24"/>
      <c r="F44" s="24"/>
    </row>
    <row r="45" spans="1:7" x14ac:dyDescent="0.2">
      <c r="A45" s="24"/>
      <c r="B45" s="25"/>
      <c r="C45" s="26"/>
      <c r="D45" s="25"/>
      <c r="E45" s="24"/>
      <c r="F45" s="24"/>
    </row>
    <row r="46" spans="1:7" x14ac:dyDescent="0.2">
      <c r="A46" s="24"/>
      <c r="B46" s="25"/>
      <c r="C46" s="26"/>
      <c r="D46" s="25"/>
      <c r="E46" s="24"/>
      <c r="F46" s="24"/>
    </row>
    <row r="47" spans="1:7" ht="15.75" x14ac:dyDescent="0.25">
      <c r="A47" s="1" t="s">
        <v>0</v>
      </c>
      <c r="B47" s="2"/>
      <c r="C47" s="2"/>
      <c r="D47" s="3"/>
      <c r="E47" s="3"/>
      <c r="F47" s="4"/>
      <c r="G47" s="24"/>
    </row>
    <row r="48" spans="1:7" ht="15" x14ac:dyDescent="0.2">
      <c r="A48" s="5" t="s">
        <v>1</v>
      </c>
      <c r="B48" s="2"/>
      <c r="C48" s="2"/>
      <c r="D48" s="3"/>
      <c r="E48" s="3"/>
      <c r="F48" s="4"/>
      <c r="G48" s="24"/>
    </row>
    <row r="49" spans="1:7" ht="15" x14ac:dyDescent="0.2">
      <c r="A49" s="154" t="s">
        <v>2</v>
      </c>
      <c r="B49" s="154"/>
      <c r="C49" s="154"/>
      <c r="D49" s="154"/>
      <c r="E49" s="154"/>
      <c r="F49" s="154"/>
      <c r="G49" s="24"/>
    </row>
    <row r="51" spans="1:7" x14ac:dyDescent="0.2">
      <c r="A51" s="167" t="s">
        <v>3</v>
      </c>
      <c r="B51" s="167"/>
      <c r="C51" s="167"/>
      <c r="D51" s="167"/>
      <c r="E51" s="167"/>
      <c r="F51" s="167"/>
      <c r="G51" s="167"/>
    </row>
    <row r="52" spans="1:7" x14ac:dyDescent="0.2">
      <c r="A52" s="168" t="s">
        <v>34</v>
      </c>
      <c r="B52" s="168"/>
      <c r="C52" s="168"/>
      <c r="D52" s="168"/>
      <c r="E52" s="168"/>
      <c r="F52" s="168"/>
      <c r="G52" s="168"/>
    </row>
    <row r="53" spans="1:7" x14ac:dyDescent="0.2">
      <c r="A53" s="168" t="s">
        <v>109</v>
      </c>
      <c r="B53" s="168"/>
      <c r="C53" s="168"/>
      <c r="D53" s="168"/>
      <c r="E53" s="168"/>
      <c r="F53" s="168"/>
      <c r="G53" s="168"/>
    </row>
    <row r="55" spans="1:7" x14ac:dyDescent="0.2">
      <c r="A55" s="8" t="s">
        <v>6</v>
      </c>
      <c r="B55" s="8"/>
      <c r="C55" s="8"/>
      <c r="D55" s="9" t="s">
        <v>7</v>
      </c>
      <c r="E55" s="9" t="s">
        <v>8</v>
      </c>
      <c r="F55" s="8" t="s">
        <v>9</v>
      </c>
    </row>
    <row r="56" spans="1:7" x14ac:dyDescent="0.2">
      <c r="A56" s="11" t="s">
        <v>11</v>
      </c>
      <c r="B56" s="8" t="s">
        <v>12</v>
      </c>
      <c r="C56" s="8"/>
      <c r="D56" s="8">
        <v>0.2</v>
      </c>
      <c r="E56" s="12">
        <v>25979</v>
      </c>
      <c r="F56" s="13">
        <f>+E56*D56</f>
        <v>5195.8</v>
      </c>
    </row>
    <row r="57" spans="1:7" x14ac:dyDescent="0.2">
      <c r="A57" s="8"/>
      <c r="B57" s="8" t="s">
        <v>13</v>
      </c>
      <c r="C57" s="8"/>
      <c r="D57" s="8">
        <v>0.25</v>
      </c>
      <c r="E57" s="12"/>
      <c r="F57" s="13">
        <f>+E57*D57</f>
        <v>0</v>
      </c>
    </row>
    <row r="58" spans="1:7" x14ac:dyDescent="0.2">
      <c r="A58" s="8"/>
      <c r="B58" s="8" t="s">
        <v>14</v>
      </c>
      <c r="C58" s="8"/>
      <c r="D58" s="13">
        <v>0.95</v>
      </c>
      <c r="E58" s="12">
        <v>56511</v>
      </c>
      <c r="F58" s="13">
        <f>+E58*D58</f>
        <v>53685.45</v>
      </c>
    </row>
    <row r="59" spans="1:7" x14ac:dyDescent="0.2">
      <c r="A59" s="8"/>
      <c r="B59" s="8"/>
      <c r="C59" s="8"/>
      <c r="D59" s="8"/>
      <c r="E59" s="12">
        <f>SUM(E56:E58)</f>
        <v>82490</v>
      </c>
      <c r="F59" s="13">
        <f>SUM(F56:F58)</f>
        <v>58881.25</v>
      </c>
    </row>
    <row r="60" spans="1:7" x14ac:dyDescent="0.2">
      <c r="A60" s="8"/>
      <c r="B60" s="8" t="s">
        <v>15</v>
      </c>
      <c r="C60" s="8"/>
      <c r="D60" s="19">
        <f>+F59/E59</f>
        <v>0.71379864225966783</v>
      </c>
      <c r="E60" s="8"/>
      <c r="F60" s="8"/>
    </row>
    <row r="61" spans="1:7" x14ac:dyDescent="0.2">
      <c r="A61" s="8"/>
      <c r="B61" s="8"/>
      <c r="C61" s="8"/>
      <c r="D61" s="8"/>
      <c r="E61" s="8"/>
      <c r="F61" s="8"/>
    </row>
    <row r="62" spans="1:7" x14ac:dyDescent="0.2">
      <c r="A62" s="11" t="s">
        <v>16</v>
      </c>
      <c r="B62" s="8" t="s">
        <v>17</v>
      </c>
      <c r="C62" s="8">
        <v>348</v>
      </c>
      <c r="D62" s="8" t="s">
        <v>18</v>
      </c>
      <c r="E62" s="8"/>
      <c r="F62" s="8"/>
    </row>
    <row r="63" spans="1:7" x14ac:dyDescent="0.2">
      <c r="A63" s="8"/>
      <c r="B63" s="8" t="s">
        <v>19</v>
      </c>
      <c r="C63" s="15">
        <v>0.56000000000000005</v>
      </c>
      <c r="D63" s="8"/>
      <c r="E63" s="15"/>
      <c r="F63" s="8"/>
    </row>
    <row r="64" spans="1:7" x14ac:dyDescent="0.2">
      <c r="A64" s="8"/>
      <c r="B64" s="8" t="s">
        <v>20</v>
      </c>
      <c r="C64" s="19">
        <f>+D60</f>
        <v>0.71379864225966783</v>
      </c>
      <c r="D64" s="8"/>
      <c r="E64" s="8"/>
      <c r="F64" s="8"/>
    </row>
    <row r="65" spans="1:9" x14ac:dyDescent="0.2">
      <c r="A65" s="8"/>
      <c r="B65" s="8" t="s">
        <v>21</v>
      </c>
      <c r="C65" s="8" t="s">
        <v>22</v>
      </c>
      <c r="D65" s="16">
        <f>0.7039*C66*D66*E66</f>
        <v>11.445201753793668</v>
      </c>
      <c r="E65" s="8" t="s">
        <v>23</v>
      </c>
      <c r="F65" s="8"/>
      <c r="G65" s="17"/>
      <c r="H65" s="17"/>
      <c r="I65" s="17"/>
    </row>
    <row r="66" spans="1:9" x14ac:dyDescent="0.2">
      <c r="A66" s="8"/>
      <c r="B66" s="8"/>
      <c r="C66" s="8">
        <f>+C62^0.3917</f>
        <v>9.8977525016046677</v>
      </c>
      <c r="D66" s="8">
        <f>+C64^-1.1309</f>
        <v>1.4641690454816754</v>
      </c>
      <c r="E66" s="8">
        <f>+C63^-0.1985</f>
        <v>1.1219788664395176</v>
      </c>
      <c r="F66" s="8"/>
    </row>
    <row r="67" spans="1:9" x14ac:dyDescent="0.2">
      <c r="A67" s="8"/>
      <c r="B67" s="8"/>
      <c r="C67" s="8"/>
      <c r="D67" s="8"/>
      <c r="E67" s="8"/>
      <c r="F67" s="8"/>
    </row>
    <row r="68" spans="1:9" x14ac:dyDescent="0.2">
      <c r="A68" s="8"/>
      <c r="B68" s="8" t="s">
        <v>24</v>
      </c>
      <c r="C68" s="8"/>
      <c r="D68" s="13">
        <f>+((C69+C71)^C72)*C70</f>
        <v>8.9513582859427832</v>
      </c>
      <c r="E68" s="8"/>
      <c r="F68" s="8"/>
    </row>
    <row r="69" spans="1:9" x14ac:dyDescent="0.2">
      <c r="A69" s="8"/>
      <c r="B69" s="9" t="s">
        <v>25</v>
      </c>
      <c r="C69" s="8">
        <f>+D65/60</f>
        <v>0.19075336256322781</v>
      </c>
      <c r="D69" s="8"/>
      <c r="E69" s="8"/>
      <c r="F69" s="8"/>
    </row>
    <row r="70" spans="1:9" x14ac:dyDescent="0.2">
      <c r="A70" s="8"/>
      <c r="B70" s="9" t="s">
        <v>26</v>
      </c>
      <c r="C70" s="8">
        <v>5.4870000000000001</v>
      </c>
      <c r="D70" s="8"/>
      <c r="E70" s="8"/>
      <c r="F70" s="8"/>
    </row>
    <row r="71" spans="1:9" x14ac:dyDescent="0.2">
      <c r="A71" s="8"/>
      <c r="B71" s="9" t="s">
        <v>27</v>
      </c>
      <c r="C71" s="8">
        <v>0.33400000000000002</v>
      </c>
      <c r="D71" s="8"/>
      <c r="E71" s="8"/>
      <c r="F71" s="8"/>
    </row>
    <row r="72" spans="1:9" x14ac:dyDescent="0.2">
      <c r="A72" s="8"/>
      <c r="B72" s="9" t="s">
        <v>28</v>
      </c>
      <c r="C72" s="8">
        <v>-0.75900000000000001</v>
      </c>
      <c r="D72" s="8"/>
      <c r="E72" s="8"/>
      <c r="F72" s="8"/>
    </row>
    <row r="73" spans="1:9" x14ac:dyDescent="0.2">
      <c r="A73" s="8"/>
      <c r="B73" s="18" t="s">
        <v>29</v>
      </c>
      <c r="C73" s="19">
        <f>+C26</f>
        <v>1.8937098255280074</v>
      </c>
      <c r="D73" s="8"/>
      <c r="E73" s="8"/>
      <c r="F73" s="8"/>
    </row>
    <row r="74" spans="1:9" x14ac:dyDescent="0.2">
      <c r="A74" s="8"/>
      <c r="B74" s="8" t="s">
        <v>110</v>
      </c>
      <c r="C74" s="8" t="s">
        <v>31</v>
      </c>
      <c r="D74" s="13">
        <f>+C73*D68*C64</f>
        <v>12.099797178011215</v>
      </c>
      <c r="E74" s="8" t="s">
        <v>32</v>
      </c>
      <c r="F74" s="8"/>
    </row>
    <row r="75" spans="1:9" x14ac:dyDescent="0.2">
      <c r="A75" s="8"/>
      <c r="B75" s="71"/>
      <c r="C75" s="71"/>
      <c r="D75" s="71"/>
      <c r="E75" s="8"/>
      <c r="F75" s="8"/>
    </row>
    <row r="76" spans="1:9" x14ac:dyDescent="0.2">
      <c r="A76" s="72"/>
      <c r="B76" s="73" t="s">
        <v>112</v>
      </c>
      <c r="C76" s="74">
        <f>+D74</f>
        <v>12.099797178011215</v>
      </c>
      <c r="D76" s="75" t="str">
        <f>+E74</f>
        <v>cfs</v>
      </c>
      <c r="E76" s="76"/>
      <c r="F76" s="8"/>
    </row>
    <row r="78" spans="1:9" x14ac:dyDescent="0.2">
      <c r="A78" s="24"/>
      <c r="B78" s="21" t="s">
        <v>113</v>
      </c>
      <c r="C78" s="27"/>
      <c r="D78" s="27"/>
      <c r="E78" s="22">
        <f>+C30</f>
        <v>4.3394336467620915</v>
      </c>
      <c r="F78" s="28" t="s">
        <v>32</v>
      </c>
    </row>
    <row r="79" spans="1:9" x14ac:dyDescent="0.2">
      <c r="A79" s="24"/>
      <c r="B79" s="25"/>
      <c r="C79" s="25"/>
      <c r="D79" s="25"/>
      <c r="E79" s="25"/>
      <c r="F79" s="26"/>
      <c r="G79" s="29"/>
    </row>
    <row r="80" spans="1:9" x14ac:dyDescent="0.2">
      <c r="A80" s="24"/>
      <c r="B80" s="25"/>
      <c r="C80" s="25"/>
      <c r="D80" s="25"/>
      <c r="E80" s="25"/>
      <c r="F80" s="26"/>
      <c r="G80" s="29"/>
    </row>
    <row r="81" spans="1:7" x14ac:dyDescent="0.2">
      <c r="A81" s="24"/>
      <c r="B81" s="25"/>
      <c r="C81" s="25"/>
      <c r="D81" s="25"/>
      <c r="E81" s="25"/>
      <c r="F81" s="26"/>
      <c r="G81" s="29"/>
    </row>
    <row r="82" spans="1:7" x14ac:dyDescent="0.2">
      <c r="A82" s="24"/>
      <c r="B82" s="25"/>
      <c r="C82" s="25"/>
      <c r="D82" s="25"/>
      <c r="E82" s="25"/>
      <c r="F82" s="26"/>
      <c r="G82" s="29"/>
    </row>
    <row r="83" spans="1:7" x14ac:dyDescent="0.2">
      <c r="A83" s="24"/>
      <c r="B83" s="25"/>
      <c r="C83" s="25"/>
      <c r="D83" s="25"/>
      <c r="E83" s="25"/>
      <c r="F83" s="26"/>
      <c r="G83" s="29"/>
    </row>
    <row r="84" spans="1:7" x14ac:dyDescent="0.2">
      <c r="A84" s="24"/>
      <c r="B84" s="25"/>
      <c r="C84" s="25"/>
      <c r="D84" s="25"/>
      <c r="E84" s="25"/>
      <c r="F84" s="26"/>
      <c r="G84" s="29"/>
    </row>
    <row r="85" spans="1:7" x14ac:dyDescent="0.2">
      <c r="A85" s="24"/>
      <c r="B85" s="25"/>
      <c r="C85" s="25"/>
      <c r="D85" s="25"/>
      <c r="E85" s="25"/>
      <c r="F85" s="26"/>
      <c r="G85" s="29"/>
    </row>
    <row r="86" spans="1:7" x14ac:dyDescent="0.2">
      <c r="A86" s="24"/>
      <c r="B86" s="25"/>
      <c r="C86" s="25"/>
      <c r="D86" s="25"/>
      <c r="E86" s="25"/>
      <c r="F86" s="26"/>
      <c r="G86" s="29"/>
    </row>
    <row r="87" spans="1:7" x14ac:dyDescent="0.2">
      <c r="A87" s="24"/>
      <c r="B87" s="25"/>
      <c r="C87" s="25"/>
      <c r="D87" s="25"/>
      <c r="E87" s="25"/>
      <c r="F87" s="26"/>
      <c r="G87" s="29"/>
    </row>
    <row r="88" spans="1:7" x14ac:dyDescent="0.2">
      <c r="A88" s="24"/>
      <c r="B88" s="25"/>
      <c r="C88" s="25"/>
      <c r="D88" s="25"/>
      <c r="E88" s="25"/>
      <c r="F88" s="26"/>
      <c r="G88" s="29"/>
    </row>
    <row r="89" spans="1:7" x14ac:dyDescent="0.2">
      <c r="A89" s="24"/>
      <c r="B89" s="25"/>
      <c r="C89" s="25"/>
      <c r="D89" s="25"/>
      <c r="E89" s="25"/>
      <c r="F89" s="26"/>
      <c r="G89" s="29"/>
    </row>
    <row r="90" spans="1:7" x14ac:dyDescent="0.2">
      <c r="A90" s="24"/>
      <c r="B90" s="25"/>
      <c r="C90" s="25"/>
      <c r="D90" s="25"/>
      <c r="E90" s="25"/>
      <c r="F90" s="26"/>
      <c r="G90" s="29"/>
    </row>
    <row r="91" spans="1:7" x14ac:dyDescent="0.2">
      <c r="A91" s="24"/>
      <c r="B91" s="25"/>
      <c r="C91" s="25"/>
      <c r="D91" s="25"/>
      <c r="E91" s="25"/>
      <c r="F91" s="26"/>
      <c r="G91" s="29"/>
    </row>
    <row r="92" spans="1:7" x14ac:dyDescent="0.2">
      <c r="A92" s="24"/>
      <c r="B92" s="25"/>
      <c r="C92" s="25"/>
      <c r="D92" s="25"/>
      <c r="E92" s="25"/>
      <c r="F92" s="26"/>
      <c r="G92" s="29"/>
    </row>
    <row r="93" spans="1:7" x14ac:dyDescent="0.2">
      <c r="A93" s="24"/>
      <c r="B93" s="25"/>
      <c r="C93" s="25"/>
      <c r="D93" s="25"/>
      <c r="E93" s="25"/>
      <c r="F93" s="26"/>
      <c r="G93" s="29"/>
    </row>
    <row r="94" spans="1:7" x14ac:dyDescent="0.2">
      <c r="A94" s="24"/>
      <c r="B94" s="25"/>
      <c r="C94" s="25"/>
      <c r="D94" s="25"/>
      <c r="E94" s="25"/>
      <c r="F94" s="26"/>
      <c r="G94" s="29"/>
    </row>
    <row r="95" spans="1:7" ht="15.75" x14ac:dyDescent="0.25">
      <c r="A95" s="77" t="s">
        <v>0</v>
      </c>
      <c r="B95" s="78"/>
      <c r="C95" s="78"/>
      <c r="D95" s="79"/>
      <c r="E95" s="79"/>
      <c r="F95" s="80"/>
      <c r="G95" s="24"/>
    </row>
    <row r="96" spans="1:7" ht="15" x14ac:dyDescent="0.2">
      <c r="A96" s="81" t="s">
        <v>1</v>
      </c>
      <c r="B96" s="78"/>
      <c r="C96" s="78"/>
      <c r="D96" s="79"/>
      <c r="E96" s="79"/>
      <c r="F96" s="80"/>
      <c r="G96" s="24"/>
    </row>
    <row r="97" spans="1:13" ht="15" x14ac:dyDescent="0.2">
      <c r="A97" s="81" t="s">
        <v>2</v>
      </c>
      <c r="B97" s="78"/>
      <c r="C97" s="78"/>
      <c r="D97" s="79"/>
      <c r="E97" s="79"/>
      <c r="F97" s="80"/>
      <c r="G97" s="24"/>
    </row>
    <row r="99" spans="1:13" x14ac:dyDescent="0.2">
      <c r="A99" s="6" t="s">
        <v>3</v>
      </c>
    </row>
    <row r="100" spans="1:13" x14ac:dyDescent="0.2">
      <c r="A100" s="7" t="s">
        <v>114</v>
      </c>
    </row>
    <row r="101" spans="1:13" x14ac:dyDescent="0.2">
      <c r="A101" s="7" t="s">
        <v>109</v>
      </c>
    </row>
    <row r="102" spans="1:13" x14ac:dyDescent="0.2">
      <c r="D102" s="30"/>
    </row>
    <row r="103" spans="1:13" ht="53.45" customHeight="1" x14ac:dyDescent="0.2">
      <c r="A103" s="82" t="s">
        <v>41</v>
      </c>
      <c r="B103" s="83" t="s">
        <v>42</v>
      </c>
      <c r="C103" s="84" t="s">
        <v>43</v>
      </c>
      <c r="D103" s="84" t="s">
        <v>44</v>
      </c>
      <c r="E103" s="82" t="s">
        <v>45</v>
      </c>
      <c r="F103" s="82" t="s">
        <v>46</v>
      </c>
    </row>
    <row r="104" spans="1:13" x14ac:dyDescent="0.2">
      <c r="A104" s="85">
        <v>10</v>
      </c>
      <c r="B104" s="83" t="s">
        <v>47</v>
      </c>
      <c r="C104" s="86">
        <f t="shared" ref="C104:C114" si="0">((A104/60+$C$71)^$C$72)*$C$70</f>
        <v>9.2763582719754378</v>
      </c>
      <c r="D104" s="86">
        <f t="shared" ref="D104:D114" si="1">+C104*$C$73*$C$64</f>
        <v>12.539108597377268</v>
      </c>
      <c r="E104" s="87">
        <f t="shared" ref="E104:E114" si="2">+A104*D104*60-(0.5*$E$78*(A104+$D$65)*60)</f>
        <v>4731.6642568659499</v>
      </c>
      <c r="F104" s="33">
        <f t="shared" ref="F104:F114" si="3">E104*0.0000229569</f>
        <v>0.10862434317844592</v>
      </c>
      <c r="L104" s="30"/>
    </row>
    <row r="105" spans="1:13" x14ac:dyDescent="0.2">
      <c r="A105" s="85">
        <v>20</v>
      </c>
      <c r="B105" s="88" t="s">
        <v>47</v>
      </c>
      <c r="C105" s="86">
        <f t="shared" si="0"/>
        <v>7.4586248023814168</v>
      </c>
      <c r="D105" s="86">
        <f t="shared" si="1"/>
        <v>10.082028274683672</v>
      </c>
      <c r="E105" s="87">
        <f t="shared" si="2"/>
        <v>8004.8029340313697</v>
      </c>
      <c r="F105" s="33">
        <f t="shared" si="3"/>
        <v>0.18376546047626474</v>
      </c>
      <c r="L105" s="30"/>
      <c r="M105" s="30"/>
    </row>
    <row r="106" spans="1:13" x14ac:dyDescent="0.2">
      <c r="A106" s="85">
        <v>30</v>
      </c>
      <c r="B106" s="88" t="s">
        <v>47</v>
      </c>
      <c r="C106" s="86">
        <f t="shared" si="0"/>
        <v>6.2975253990612341</v>
      </c>
      <c r="D106" s="86">
        <f t="shared" si="1"/>
        <v>8.5125382783166739</v>
      </c>
      <c r="E106" s="87">
        <f t="shared" si="2"/>
        <v>9927.1078113523508</v>
      </c>
      <c r="F106" s="33">
        <f t="shared" si="3"/>
        <v>0.22789562131443478</v>
      </c>
      <c r="L106" s="30"/>
      <c r="M106" s="30"/>
    </row>
    <row r="107" spans="1:13" x14ac:dyDescent="0.2">
      <c r="A107" s="85">
        <v>40</v>
      </c>
      <c r="B107" s="88" t="s">
        <v>47</v>
      </c>
      <c r="C107" s="86">
        <f t="shared" si="0"/>
        <v>5.4842252049113025</v>
      </c>
      <c r="D107" s="86">
        <f t="shared" si="1"/>
        <v>7.4131780382617904</v>
      </c>
      <c r="E107" s="87">
        <f t="shared" si="2"/>
        <v>11094.336108182004</v>
      </c>
      <c r="F107" s="33">
        <f t="shared" si="3"/>
        <v>0.25469156460192344</v>
      </c>
      <c r="L107" s="30"/>
      <c r="M107" s="30"/>
    </row>
    <row r="108" spans="1:13" x14ac:dyDescent="0.2">
      <c r="A108" s="85">
        <v>50</v>
      </c>
      <c r="B108" s="88" t="s">
        <v>47</v>
      </c>
      <c r="C108" s="86">
        <f t="shared" si="0"/>
        <v>4.8790362064113131</v>
      </c>
      <c r="D108" s="86">
        <f t="shared" si="1"/>
        <v>6.5951274249025733</v>
      </c>
      <c r="E108" s="87">
        <f t="shared" si="2"/>
        <v>11786.260997032801</v>
      </c>
      <c r="F108" s="33">
        <f t="shared" si="3"/>
        <v>0.27057601508278234</v>
      </c>
      <c r="L108" s="30"/>
      <c r="M108" s="30"/>
    </row>
    <row r="109" spans="1:13" x14ac:dyDescent="0.2">
      <c r="A109" s="85">
        <v>60</v>
      </c>
      <c r="B109" s="88" t="s">
        <v>47</v>
      </c>
      <c r="C109" s="86">
        <f t="shared" si="0"/>
        <v>4.4090161085469086</v>
      </c>
      <c r="D109" s="86">
        <f t="shared" si="1"/>
        <v>5.9597883319875491</v>
      </c>
      <c r="E109" s="87">
        <f t="shared" si="2"/>
        <v>12154.286623451631</v>
      </c>
      <c r="F109" s="33">
        <f t="shared" si="3"/>
        <v>0.27902474258591675</v>
      </c>
      <c r="J109" s="6"/>
      <c r="L109" s="30"/>
      <c r="M109" s="30"/>
    </row>
    <row r="110" spans="1:13" x14ac:dyDescent="0.2">
      <c r="A110" s="89">
        <v>75</v>
      </c>
      <c r="B110" s="90" t="s">
        <v>47</v>
      </c>
      <c r="C110" s="91">
        <f t="shared" si="0"/>
        <v>3.8700874682146575</v>
      </c>
      <c r="D110" s="91">
        <f t="shared" si="1"/>
        <v>5.2313036670756272</v>
      </c>
      <c r="E110" s="92">
        <f t="shared" si="2"/>
        <v>12287.169989093834</v>
      </c>
      <c r="F110" s="40">
        <f t="shared" si="3"/>
        <v>0.28207533272262825</v>
      </c>
      <c r="L110" s="30"/>
      <c r="M110" s="30"/>
    </row>
    <row r="111" spans="1:13" x14ac:dyDescent="0.2">
      <c r="A111" s="85">
        <v>80</v>
      </c>
      <c r="B111" s="88" t="s">
        <v>47</v>
      </c>
      <c r="C111" s="86">
        <f t="shared" si="0"/>
        <v>3.7223733804458274</v>
      </c>
      <c r="D111" s="86">
        <f t="shared" si="1"/>
        <v>5.031634472161981</v>
      </c>
      <c r="E111" s="87">
        <f t="shared" si="2"/>
        <v>12247.23390661671</v>
      </c>
      <c r="F111" s="33">
        <f t="shared" si="3"/>
        <v>0.28115852407080916</v>
      </c>
      <c r="L111" s="30"/>
      <c r="M111" s="30"/>
    </row>
    <row r="112" spans="1:13" x14ac:dyDescent="0.2">
      <c r="A112" s="85">
        <v>90</v>
      </c>
      <c r="B112" s="88" t="s">
        <v>47</v>
      </c>
      <c r="C112" s="86">
        <f t="shared" si="0"/>
        <v>3.4627000060890225</v>
      </c>
      <c r="D112" s="86">
        <f t="shared" si="1"/>
        <v>4.6806268304299641</v>
      </c>
      <c r="E112" s="87">
        <f t="shared" si="2"/>
        <v>12068.943230532379</v>
      </c>
      <c r="F112" s="33">
        <f t="shared" si="3"/>
        <v>0.27706552284900876</v>
      </c>
    </row>
    <row r="113" spans="1:6" x14ac:dyDescent="0.2">
      <c r="A113" s="85">
        <v>100</v>
      </c>
      <c r="B113" s="88" t="s">
        <v>47</v>
      </c>
      <c r="C113" s="86">
        <f t="shared" si="0"/>
        <v>3.2414799175312141</v>
      </c>
      <c r="D113" s="86">
        <f t="shared" si="1"/>
        <v>4.3815975526660882</v>
      </c>
      <c r="E113" s="87">
        <f t="shared" si="2"/>
        <v>11781.313568178473</v>
      </c>
      <c r="F113" s="33">
        <f t="shared" si="3"/>
        <v>0.27046243745331638</v>
      </c>
    </row>
    <row r="114" spans="1:6" x14ac:dyDescent="0.2">
      <c r="A114" s="85">
        <v>110</v>
      </c>
      <c r="B114" s="88" t="s">
        <v>47</v>
      </c>
      <c r="C114" s="86">
        <f t="shared" si="0"/>
        <v>3.0504741280808183</v>
      </c>
      <c r="D114" s="86">
        <f t="shared" si="1"/>
        <v>4.1234097739682891</v>
      </c>
      <c r="E114" s="87">
        <f t="shared" si="2"/>
        <v>11404.402666344024</v>
      </c>
      <c r="F114" s="33">
        <f t="shared" si="3"/>
        <v>0.26180973157099313</v>
      </c>
    </row>
  </sheetData>
  <sheetProtection selectLockedCells="1" selectUnlockedCells="1"/>
  <mergeCells count="4">
    <mergeCell ref="A49:F49"/>
    <mergeCell ref="A51:G51"/>
    <mergeCell ref="A52:G52"/>
    <mergeCell ref="A53:G53"/>
  </mergeCell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La DOTD</vt:lpstr>
      <vt:lpstr>10 Year</vt:lpstr>
      <vt:lpstr>25 Year</vt:lpstr>
      <vt:lpstr>100 Year</vt:lpstr>
      <vt:lpstr>'10 Year'!Print_Area</vt:lpstr>
      <vt:lpstr>'25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2020-03-24T17:04:14Z</dcterms:created>
  <dcterms:modified xsi:type="dcterms:W3CDTF">2020-05-01T16:12:43Z</dcterms:modified>
</cp:coreProperties>
</file>