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Default Extension="fntdata" ContentType="application/x-fontdata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_rels/sheet2.xml.rels" ContentType="application/vnd.openxmlformats-package.relationships+xml"/>
  <Override PartName="/xl/worksheets/_rels/sheet3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1.xml.rels" ContentType="application/vnd.openxmlformats-package.relationships+xml"/>
  <Override PartName="/xl/drawings/_rels/drawing2.xml.rels" ContentType="application/vnd.openxmlformats-package.relationships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media/image1.png" ContentType="image/png"/>
  <Override PartName="/xl/sharedStrings.xml" ContentType="application/vnd.openxmlformats-officedocument.spreadsheetml.sharedString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2"/>
  </bookViews>
  <sheets>
    <sheet name="RunOff Calcs" sheetId="1" state="visible" r:id="rId3"/>
    <sheet name="Trough Drain" sheetId="2" state="visible" r:id="rId4"/>
    <sheet name="Drain Pipe" sheetId="3" state="visible" r:id="rId5"/>
    <sheet name="Alternative Rainfall Calc" sheetId="4" state="visible" r:id="rId6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<sst xmlns="http://schemas.openxmlformats.org/spreadsheetml/2006/main" count="182" uniqueCount="102">
  <si>
    <t xml:space="preserve">100 Year Rain Event</t>
  </si>
  <si>
    <t xml:space="preserve">Long lasting expected rainfall of 1 inches per hour for 5 hours</t>
  </si>
  <si>
    <t xml:space="preserve">The main structure has an approximate roof area  =</t>
  </si>
  <si>
    <t xml:space="preserve">s.f.</t>
  </si>
  <si>
    <t xml:space="preserve">Rainfall Rate</t>
  </si>
  <si>
    <t xml:space="preserve">=</t>
  </si>
  <si>
    <t xml:space="preserve">in./hr</t>
  </si>
  <si>
    <t xml:space="preserve">Convert to ft</t>
  </si>
  <si>
    <t xml:space="preserve">ft /hr</t>
  </si>
  <si>
    <t xml:space="preserve">Rainfall per hour (roof x rate)</t>
  </si>
  <si>
    <t xml:space="preserve">cu ft/hr</t>
  </si>
  <si>
    <t xml:space="preserve">If rainfall is considered constant then estimate flow per second</t>
  </si>
  <si>
    <t xml:space="preserve">cfs</t>
  </si>
  <si>
    <t xml:space="preserve">The roof has 16 downspouts from the roof therefore each downspout</t>
  </si>
  <si>
    <t xml:space="preserve">would effectively handle</t>
  </si>
  <si>
    <t xml:space="preserve">Paved area to drain has an approximate area</t>
  </si>
  <si>
    <t xml:space="preserve">Rainfall per hour (paving x rate)</t>
  </si>
  <si>
    <t xml:space="preserve">*******************************************************************************</t>
  </si>
  <si>
    <t xml:space="preserve">Trough to support 100 Year Rain Event</t>
  </si>
  <si>
    <t xml:space="preserve">A trough that is 16" wide would have a depth of </t>
  </si>
  <si>
    <t xml:space="preserve">ft</t>
  </si>
  <si>
    <t xml:space="preserve">inches</t>
  </si>
  <si>
    <t xml:space="preserve">Alternative Rainfall Event</t>
  </si>
  <si>
    <t xml:space="preserve">Using an alternative method of calculating rainfall intensity</t>
  </si>
  <si>
    <t xml:space="preserve">for short durations, see tab "Alternative Rainfall Calcs</t>
  </si>
  <si>
    <t xml:space="preserve">Calcs show  average intensity=</t>
  </si>
  <si>
    <t xml:space="preserve">Pipe Calcs</t>
  </si>
  <si>
    <t xml:space="preserve">Assume that the pipe is 18" diameter with 1% slope</t>
  </si>
  <si>
    <t xml:space="preserve">The depth in the 18" pipe to allow 5.01 cfs flow is</t>
  </si>
  <si>
    <t xml:space="preserve"> ft depth </t>
  </si>
  <si>
    <t xml:space="preserve">Manning's Equation</t>
  </si>
  <si>
    <t xml:space="preserve">Rectangular Section (Trough Drain)</t>
  </si>
  <si>
    <t xml:space="preserve">Slope</t>
  </si>
  <si>
    <t xml:space="preserve">n</t>
  </si>
  <si>
    <t xml:space="preserve">Base (b)</t>
  </si>
  <si>
    <t xml:space="preserve">Depth of Liquid (h)</t>
  </si>
  <si>
    <t xml:space="preserve">Area</t>
  </si>
  <si>
    <r>
      <rPr>
        <sz val="14"/>
        <rFont val="Arial"/>
        <family val="2"/>
        <charset val="1"/>
      </rPr>
      <t xml:space="preserve">P</t>
    </r>
    <r>
      <rPr>
        <vertAlign val="subscript"/>
        <sz val="14"/>
        <rFont val="Arial"/>
        <family val="2"/>
        <charset val="1"/>
      </rPr>
      <t xml:space="preserve">w</t>
    </r>
  </si>
  <si>
    <r>
      <rPr>
        <sz val="14"/>
        <color theme="1"/>
        <rFont val="Arial"/>
        <family val="2"/>
        <charset val="1"/>
      </rPr>
      <t xml:space="preserve">R</t>
    </r>
    <r>
      <rPr>
        <vertAlign val="subscript"/>
        <sz val="14"/>
        <rFont val="Arial"/>
        <family val="2"/>
        <charset val="1"/>
      </rPr>
      <t xml:space="preserve">h</t>
    </r>
  </si>
  <si>
    <t xml:space="preserve">Q</t>
  </si>
  <si>
    <t xml:space="preserve">V</t>
  </si>
  <si>
    <t xml:space="preserve">ft/ft</t>
  </si>
  <si>
    <r>
      <rPr>
        <sz val="14"/>
        <color theme="1"/>
        <rFont val="Arial"/>
        <family val="2"/>
        <charset val="1"/>
      </rPr>
      <t xml:space="preserve">ft</t>
    </r>
    <r>
      <rPr>
        <vertAlign val="superscript"/>
        <sz val="14"/>
        <rFont val="Arial"/>
        <family val="2"/>
        <charset val="1"/>
      </rPr>
      <t xml:space="preserve">2</t>
    </r>
  </si>
  <si>
    <r>
      <rPr>
        <sz val="14"/>
        <color theme="1"/>
        <rFont val="Arial"/>
        <family val="2"/>
        <charset val="1"/>
      </rPr>
      <t xml:space="preserve">ft</t>
    </r>
    <r>
      <rPr>
        <vertAlign val="superscript"/>
        <sz val="14"/>
        <rFont val="Arial"/>
        <family val="2"/>
        <charset val="1"/>
      </rPr>
      <t xml:space="preserve">3</t>
    </r>
    <r>
      <rPr>
        <sz val="14"/>
        <color theme="1"/>
        <rFont val="Arial"/>
        <family val="2"/>
        <charset val="1"/>
      </rPr>
      <t xml:space="preserve">/sec</t>
    </r>
  </si>
  <si>
    <t xml:space="preserve">ft/sec</t>
  </si>
  <si>
    <t xml:space="preserve">*************************************************************************************************</t>
  </si>
  <si>
    <t xml:space="preserve">Circular Section</t>
  </si>
  <si>
    <t xml:space="preserve">Riadus</t>
  </si>
  <si>
    <t xml:space="preserve">Depth of Liquid</t>
  </si>
  <si>
    <r>
      <rPr>
        <sz val="12"/>
        <rFont val="Arrus BT"/>
        <family val="1"/>
        <charset val="1"/>
      </rPr>
      <t xml:space="preserve">P</t>
    </r>
    <r>
      <rPr>
        <vertAlign val="subscript"/>
        <sz val="12"/>
        <rFont val="Arrus BT"/>
        <family val="1"/>
        <charset val="1"/>
      </rPr>
      <t xml:space="preserve">w</t>
    </r>
  </si>
  <si>
    <r>
      <rPr>
        <sz val="11"/>
        <color theme="1"/>
        <rFont val="Calibri"/>
        <family val="2"/>
        <charset val="1"/>
      </rPr>
      <t xml:space="preserve">R</t>
    </r>
    <r>
      <rPr>
        <vertAlign val="subscript"/>
        <sz val="12"/>
        <rFont val="Arrus BT"/>
        <family val="1"/>
        <charset val="1"/>
      </rPr>
      <t xml:space="preserve">h</t>
    </r>
  </si>
  <si>
    <r>
      <rPr>
        <sz val="11"/>
        <color theme="1"/>
        <rFont val="Calibri"/>
        <family val="2"/>
        <charset val="1"/>
      </rPr>
      <t xml:space="preserve">ft</t>
    </r>
    <r>
      <rPr>
        <vertAlign val="superscript"/>
        <sz val="12"/>
        <rFont val="Arrus BT"/>
        <family val="1"/>
        <charset val="1"/>
      </rPr>
      <t xml:space="preserve">2</t>
    </r>
  </si>
  <si>
    <r>
      <rPr>
        <sz val="11"/>
        <color theme="1"/>
        <rFont val="Calibri"/>
        <family val="2"/>
        <charset val="1"/>
      </rPr>
      <t xml:space="preserve">ft</t>
    </r>
    <r>
      <rPr>
        <vertAlign val="superscript"/>
        <sz val="12"/>
        <rFont val="Arrus BT"/>
        <family val="1"/>
        <charset val="1"/>
      </rPr>
      <t xml:space="preserve">3</t>
    </r>
    <r>
      <rPr>
        <sz val="11"/>
        <color theme="1"/>
        <rFont val="Calibri"/>
        <family val="2"/>
        <charset val="1"/>
      </rPr>
      <t xml:space="preserve">/sec</t>
    </r>
  </si>
  <si>
    <t xml:space="preserve">Re = 4VR / v</t>
  </si>
  <si>
    <t xml:space="preserve">Re = </t>
  </si>
  <si>
    <t xml:space="preserve">Re = Reynolds Number (Unitless)</t>
  </si>
  <si>
    <t xml:space="preserve">V= average velocity (ft/s)</t>
  </si>
  <si>
    <t xml:space="preserve">R = Hydrualic Radius (ft)</t>
  </si>
  <si>
    <r>
      <rPr>
        <i val="true"/>
        <sz val="12"/>
        <rFont val="Times New Roman"/>
        <family val="1"/>
        <charset val="1"/>
      </rPr>
      <t xml:space="preserve">v = kinmatic viscosity (ft</t>
    </r>
    <r>
      <rPr>
        <i val="true"/>
        <vertAlign val="superscript"/>
        <sz val="12"/>
        <rFont val="Times New Roman"/>
        <family val="1"/>
        <charset val="1"/>
      </rPr>
      <t xml:space="preserve">2</t>
    </r>
    <r>
      <rPr>
        <i val="true"/>
        <sz val="12"/>
        <rFont val="Times New Roman"/>
        <family val="1"/>
        <charset val="1"/>
      </rPr>
      <t xml:space="preserve">/s)</t>
    </r>
  </si>
  <si>
    <t xml:space="preserve">v of water =</t>
  </si>
  <si>
    <t xml:space="preserve">If the Reynolds number for closed conduits, and is above 4,000; the flow is generally turbulent. </t>
  </si>
  <si>
    <t xml:space="preserve">Jindal Tubular</t>
  </si>
  <si>
    <t xml:space="preserve">Drainage Calculations - Modified Rational Method, LDOTD Hydraulics Manual</t>
  </si>
  <si>
    <t xml:space="preserve">Predevelopment Condition</t>
  </si>
  <si>
    <t xml:space="preserve">100 Year Frequency</t>
  </si>
  <si>
    <t xml:space="preserve">Q= CIA</t>
  </si>
  <si>
    <t xml:space="preserve">Factor</t>
  </si>
  <si>
    <t xml:space="preserve">Area, sf</t>
  </si>
  <si>
    <t xml:space="preserve">Total</t>
  </si>
  <si>
    <t xml:space="preserve">mi^2</t>
  </si>
  <si>
    <t xml:space="preserve">C</t>
  </si>
  <si>
    <t xml:space="preserve">Undeveloped Area</t>
  </si>
  <si>
    <t xml:space="preserve">Gravel Area</t>
  </si>
  <si>
    <t xml:space="preserve">Building/ Parking</t>
  </si>
  <si>
    <t xml:space="preserve">Weighted C Factor</t>
  </si>
  <si>
    <t xml:space="preserve">I</t>
  </si>
  <si>
    <t xml:space="preserve">Hydraulic Length, L</t>
  </si>
  <si>
    <t xml:space="preserve">feet</t>
  </si>
  <si>
    <t xml:space="preserve">Slope, in %, S</t>
  </si>
  <si>
    <t xml:space="preserve">Runoff Coefficient, C</t>
  </si>
  <si>
    <t xml:space="preserve">Time of Concentration</t>
  </si>
  <si>
    <t xml:space="preserve">Tc</t>
  </si>
  <si>
    <t xml:space="preserve">minutes</t>
  </si>
  <si>
    <t xml:space="preserve">I, intensity from Region 1</t>
  </si>
  <si>
    <t xml:space="preserve">D</t>
  </si>
  <si>
    <t xml:space="preserve">a</t>
  </si>
  <si>
    <t xml:space="preserve">b</t>
  </si>
  <si>
    <t xml:space="preserve">c</t>
  </si>
  <si>
    <t xml:space="preserve">Area, Acres</t>
  </si>
  <si>
    <t xml:space="preserve">Q100 Flow, cfs </t>
  </si>
  <si>
    <t xml:space="preserve">C*I*A</t>
  </si>
  <si>
    <t xml:space="preserve">Q100 Predev Flow</t>
  </si>
  <si>
    <t xml:space="preserve">Postdevelopment Condition</t>
  </si>
  <si>
    <t xml:space="preserve">Q100 Postdev Flow</t>
  </si>
  <si>
    <t xml:space="preserve">Q100 Allowable Flow- Undeveloped Flow =</t>
  </si>
  <si>
    <t xml:space="preserve">Storage Requirements</t>
  </si>
  <si>
    <t xml:space="preserve">Storm Duration</t>
  </si>
  <si>
    <t xml:space="preserve">i</t>
  </si>
  <si>
    <t xml:space="preserve">q, cfs</t>
  </si>
  <si>
    <t xml:space="preserve">Max. Storage Volume, cf</t>
  </si>
  <si>
    <t xml:space="preserve">min</t>
  </si>
  <si>
    <t xml:space="preserve">Average Rate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</si>
</sst>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#,##0"/>
    <numFmt numFmtId="166" formatCode="#,##0.0"/>
    <numFmt numFmtId="167" formatCode="0.00"/>
    <numFmt numFmtId="168" formatCode="0.000"/>
    <numFmt numFmtId="169" formatCode="0%"/>
    <numFmt numFmtId="170" formatCode="0.0000%"/>
    <numFmt numFmtId="171" formatCode="0.0000"/>
    <numFmt numFmtId="172" formatCode="0.0"/>
    <numFmt numFmtId="173" formatCode="0"/>
  </numFmts>
  <fonts count="26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6"/>
      <color theme="1"/>
      <name val="Arial"/>
      <family val="2"/>
      <charset val="1"/>
    </font>
    <font>
      <sz val="12"/>
      <color theme="1"/>
      <name val="Arial"/>
      <family val="2"/>
      <charset val="1"/>
    </font>
    <font>
      <sz val="14"/>
      <color theme="1"/>
      <name val="Arial"/>
      <family val="2"/>
      <charset val="1"/>
    </font>
    <font>
      <b val="true"/>
      <sz val="14"/>
      <name val="Arial"/>
      <family val="2"/>
      <charset val="1"/>
    </font>
    <font>
      <sz val="14"/>
      <name val="Arial"/>
      <family val="2"/>
      <charset val="1"/>
    </font>
    <font>
      <vertAlign val="subscript"/>
      <sz val="14"/>
      <name val="Arial"/>
      <family val="2"/>
      <charset val="1"/>
    </font>
    <font>
      <vertAlign val="superscript"/>
      <sz val="14"/>
      <name val="Arial"/>
      <family val="2"/>
      <charset val="1"/>
    </font>
    <font>
      <sz val="14"/>
      <color rgb="FFFF0000"/>
      <name val="Arial"/>
      <family val="2"/>
      <charset val="1"/>
    </font>
    <font>
      <sz val="12"/>
      <color rgb="FFFF0000"/>
      <name val="Arrus BT"/>
      <family val="1"/>
      <charset val="1"/>
    </font>
    <font>
      <b val="true"/>
      <sz val="14"/>
      <name val="Arrus BT"/>
      <family val="1"/>
      <charset val="1"/>
    </font>
    <font>
      <sz val="14"/>
      <name val="Arrus BT"/>
      <family val="1"/>
      <charset val="1"/>
    </font>
    <font>
      <sz val="12"/>
      <name val="Arrus BT"/>
      <family val="1"/>
      <charset val="1"/>
    </font>
    <font>
      <vertAlign val="subscript"/>
      <sz val="12"/>
      <name val="Arrus BT"/>
      <family val="1"/>
      <charset val="1"/>
    </font>
    <font>
      <vertAlign val="superscript"/>
      <sz val="12"/>
      <name val="Arrus BT"/>
      <family val="1"/>
      <charset val="1"/>
    </font>
    <font>
      <sz val="12"/>
      <color rgb="FFC00000"/>
      <name val="Arrus BT"/>
      <family val="0"/>
      <charset val="1"/>
    </font>
    <font>
      <i val="true"/>
      <sz val="12"/>
      <name val="Times New Roman"/>
      <family val="1"/>
      <charset val="1"/>
    </font>
    <font>
      <sz val="12"/>
      <color rgb="FF000000"/>
      <name val="Arrus BT"/>
      <family val="1"/>
      <charset val="1"/>
    </font>
    <font>
      <i val="true"/>
      <vertAlign val="superscript"/>
      <sz val="12"/>
      <name val="Times New Roman"/>
      <family val="1"/>
      <charset val="1"/>
    </font>
    <font>
      <b val="true"/>
      <sz val="12"/>
      <name val="Arial"/>
      <family val="2"/>
      <charset val="1"/>
    </font>
    <font>
      <sz val="12"/>
      <name val="Arial"/>
      <family val="2"/>
      <charset val="1"/>
    </font>
    <font>
      <sz val="10"/>
      <name val="Arial"/>
      <family val="2"/>
      <charset val="1"/>
    </font>
    <font>
      <b val="true"/>
      <sz val="1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4">
    <border diagonalUp="false" diagonalDown="false">
      <left/>
      <right/>
      <top/>
      <bottom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9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8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8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1" fillId="2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2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9" fillId="0" borderId="1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2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22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1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25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2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C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7</xdr:col>
      <xdr:colOff>0</xdr:colOff>
      <xdr:row>11</xdr:row>
      <xdr:rowOff>29880</xdr:rowOff>
    </xdr:from>
    <xdr:to>
      <xdr:col>9</xdr:col>
      <xdr:colOff>132840</xdr:colOff>
      <xdr:row>18</xdr:row>
      <xdr:rowOff>20880</xdr:rowOff>
    </xdr:to>
    <xdr:pic>
      <xdr:nvPicPr>
        <xdr:cNvPr id="1" name="Picture 8" descr="Various Flow Section Channels and their Geometric Relationships"/>
        <xdr:cNvPicPr/>
      </xdr:nvPicPr>
      <xdr:blipFill>
        <a:blip r:embed="rId1"/>
        <a:srcRect l="0" t="0" r="0" b="76008"/>
        <a:stretch/>
      </xdr:blipFill>
      <xdr:spPr>
        <a:xfrm>
          <a:off x="4803120" y="3048120"/>
          <a:ext cx="1643040" cy="153324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7</xdr:col>
      <xdr:colOff>46440</xdr:colOff>
      <xdr:row>9</xdr:row>
      <xdr:rowOff>60480</xdr:rowOff>
    </xdr:from>
    <xdr:to>
      <xdr:col>9</xdr:col>
      <xdr:colOff>179280</xdr:colOff>
      <xdr:row>16</xdr:row>
      <xdr:rowOff>99000</xdr:rowOff>
    </xdr:to>
    <xdr:pic>
      <xdr:nvPicPr>
        <xdr:cNvPr id="2" name="Picture 10" descr="Various Flow Section Channels and their Geometric Relationships"/>
        <xdr:cNvPicPr/>
      </xdr:nvPicPr>
      <xdr:blipFill>
        <a:blip r:embed="rId1"/>
        <a:srcRect l="0" t="74517" r="0" b="0"/>
        <a:stretch/>
      </xdr:blipFill>
      <xdr:spPr>
        <a:xfrm>
          <a:off x="4849560" y="2164320"/>
          <a:ext cx="1643040" cy="158076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R51"/>
  <sheetViews>
    <sheetView showFormulas="false" showGridLines="true" showRowColHeaders="true" showZeros="true" rightToLeft="false" tabSelected="false" showOutlineSymbols="true" defaultGridColor="true" view="normal" topLeftCell="A19" colorId="64" zoomScale="100" zoomScaleNormal="100" zoomScalePageLayoutView="100" workbookViewId="0">
      <selection pane="topLeft" activeCell="G35" activeCellId="0" sqref="G35"/>
    </sheetView>
  </sheetViews>
  <sheetFormatPr defaultColWidth="8.6796875" defaultRowHeight="15" customHeight="true" zeroHeight="false" outlineLevelRow="0" outlineLevelCol="0"/>
  <sheetData>
    <row r="2" customFormat="false" ht="19.7" hidden="false" customHeight="false" outlineLevel="0" collapsed="false">
      <c r="A2" s="1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customFormat="false" ht="15" hidden="false" customHeight="false" outlineLevel="0" collapsed="false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customFormat="false" ht="17.35" hidden="false" customHeight="false" outlineLevel="0" collapsed="false">
      <c r="A4" s="3" t="s">
        <v>1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</row>
    <row r="5" customFormat="false" ht="15" hidden="false" customHeight="false" outlineLevel="0" collapsed="false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</row>
    <row r="6" customFormat="false" ht="15" hidden="false" customHeight="false" outlineLevel="0" collapsed="false">
      <c r="A6" s="2" t="s">
        <v>2</v>
      </c>
      <c r="B6" s="2"/>
      <c r="C6" s="2"/>
      <c r="D6" s="2"/>
      <c r="E6" s="2"/>
      <c r="F6" s="2"/>
      <c r="G6" s="4" t="n">
        <v>50000</v>
      </c>
      <c r="H6" s="2" t="s">
        <v>3</v>
      </c>
      <c r="I6" s="2"/>
      <c r="J6" s="2"/>
      <c r="K6" s="2"/>
      <c r="L6" s="2"/>
      <c r="M6" s="2"/>
      <c r="N6" s="2"/>
      <c r="O6" s="2"/>
      <c r="P6" s="2"/>
      <c r="Q6" s="2"/>
      <c r="R6" s="2"/>
    </row>
    <row r="7" customFormat="false" ht="15" hidden="false" customHeight="false" outlineLevel="0" collapsed="false">
      <c r="A7" s="2"/>
      <c r="B7" s="2" t="s">
        <v>4</v>
      </c>
      <c r="C7" s="2"/>
      <c r="D7" s="2"/>
      <c r="E7" s="2"/>
      <c r="F7" s="2" t="s">
        <v>5</v>
      </c>
      <c r="G7" s="2" t="n">
        <v>1</v>
      </c>
      <c r="H7" s="2" t="s">
        <v>6</v>
      </c>
      <c r="I7" s="2"/>
      <c r="J7" s="2"/>
      <c r="K7" s="2"/>
      <c r="L7" s="2"/>
      <c r="M7" s="2"/>
      <c r="N7" s="2"/>
      <c r="O7" s="2"/>
      <c r="P7" s="2"/>
      <c r="Q7" s="2"/>
      <c r="R7" s="2"/>
    </row>
    <row r="8" customFormat="false" ht="15" hidden="false" customHeight="false" outlineLevel="0" collapsed="false">
      <c r="A8" s="2"/>
      <c r="B8" s="2" t="s">
        <v>7</v>
      </c>
      <c r="C8" s="2"/>
      <c r="D8" s="2"/>
      <c r="E8" s="2"/>
      <c r="F8" s="2" t="s">
        <v>5</v>
      </c>
      <c r="G8" s="2" t="n">
        <f aca="false">G7/12</f>
        <v>0.0833333333333333</v>
      </c>
      <c r="H8" s="2" t="s">
        <v>8</v>
      </c>
      <c r="I8" s="2"/>
      <c r="J8" s="2"/>
      <c r="K8" s="2"/>
      <c r="L8" s="2"/>
      <c r="M8" s="2"/>
      <c r="N8" s="2"/>
      <c r="O8" s="2"/>
      <c r="P8" s="2"/>
      <c r="Q8" s="2"/>
      <c r="R8" s="2"/>
    </row>
    <row r="9" customFormat="false" ht="15" hidden="false" customHeight="false" outlineLevel="0" collapsed="false">
      <c r="A9" s="2"/>
      <c r="B9" s="2" t="s">
        <v>9</v>
      </c>
      <c r="C9" s="2"/>
      <c r="D9" s="2"/>
      <c r="E9" s="2"/>
      <c r="F9" s="2" t="s">
        <v>5</v>
      </c>
      <c r="G9" s="5" t="n">
        <f aca="false">G8*G6</f>
        <v>4166.66666666667</v>
      </c>
      <c r="H9" s="2" t="s">
        <v>10</v>
      </c>
      <c r="I9" s="2"/>
      <c r="J9" s="2"/>
      <c r="K9" s="2"/>
      <c r="L9" s="2"/>
      <c r="M9" s="2"/>
      <c r="N9" s="2"/>
      <c r="O9" s="2"/>
      <c r="P9" s="2"/>
      <c r="Q9" s="2"/>
      <c r="R9" s="2"/>
    </row>
    <row r="10" customFormat="false" ht="15" hidden="false" customHeight="false" outlineLevel="0" collapsed="false">
      <c r="A10" s="2" t="s">
        <v>11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</row>
    <row r="11" customFormat="false" ht="15" hidden="false" customHeight="false" outlineLevel="0" collapsed="false">
      <c r="A11" s="2"/>
      <c r="B11" s="2"/>
      <c r="C11" s="2"/>
      <c r="D11" s="2"/>
      <c r="E11" s="2"/>
      <c r="F11" s="2" t="s">
        <v>5</v>
      </c>
      <c r="G11" s="6" t="n">
        <f aca="false">G9/60/60</f>
        <v>1.15740740740741</v>
      </c>
      <c r="H11" s="2" t="s">
        <v>12</v>
      </c>
      <c r="I11" s="2"/>
      <c r="J11" s="2"/>
      <c r="K11" s="2"/>
      <c r="L11" s="2"/>
      <c r="M11" s="2"/>
      <c r="N11" s="2"/>
      <c r="O11" s="2"/>
      <c r="P11" s="2"/>
      <c r="Q11" s="2"/>
      <c r="R11" s="2"/>
    </row>
    <row r="12" customFormat="false" ht="15" hidden="false" customHeight="false" outlineLevel="0" collapsed="false">
      <c r="A12" s="2" t="s">
        <v>13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</row>
    <row r="13" customFormat="false" ht="15" hidden="false" customHeight="false" outlineLevel="0" collapsed="false">
      <c r="A13" s="2" t="s">
        <v>14</v>
      </c>
      <c r="B13" s="2"/>
      <c r="C13" s="2"/>
      <c r="D13" s="2"/>
      <c r="E13" s="2"/>
      <c r="F13" s="2" t="s">
        <v>5</v>
      </c>
      <c r="G13" s="6" t="n">
        <f aca="false">G11/16</f>
        <v>0.072337962962963</v>
      </c>
      <c r="H13" s="2" t="s">
        <v>12</v>
      </c>
      <c r="I13" s="2"/>
      <c r="J13" s="2"/>
      <c r="K13" s="2"/>
      <c r="L13" s="2"/>
      <c r="M13" s="2"/>
      <c r="N13" s="2"/>
      <c r="O13" s="2"/>
      <c r="P13" s="2"/>
      <c r="Q13" s="2"/>
      <c r="R13" s="2"/>
    </row>
    <row r="14" customFormat="false" ht="15" hidden="false" customHeight="false" outlineLevel="0" collapsed="false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</row>
    <row r="15" customFormat="false" ht="15" hidden="false" customHeight="false" outlineLevel="0" collapsed="false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</row>
    <row r="16" customFormat="false" ht="15" hidden="false" customHeight="false" outlineLevel="0" collapsed="false">
      <c r="A16" s="2" t="s">
        <v>15</v>
      </c>
      <c r="B16" s="2"/>
      <c r="C16" s="2"/>
      <c r="D16" s="2"/>
      <c r="E16" s="2"/>
      <c r="F16" s="2" t="s">
        <v>5</v>
      </c>
      <c r="G16" s="4" t="n">
        <v>50000</v>
      </c>
      <c r="H16" s="2" t="s">
        <v>3</v>
      </c>
      <c r="I16" s="2"/>
      <c r="J16" s="2"/>
      <c r="K16" s="2"/>
      <c r="L16" s="2"/>
      <c r="M16" s="2"/>
      <c r="N16" s="2"/>
      <c r="O16" s="2"/>
      <c r="P16" s="2"/>
      <c r="Q16" s="2"/>
      <c r="R16" s="2"/>
    </row>
    <row r="17" customFormat="false" ht="15" hidden="false" customHeight="false" outlineLevel="0" collapsed="false">
      <c r="A17" s="2"/>
      <c r="B17" s="2" t="s">
        <v>4</v>
      </c>
      <c r="C17" s="2"/>
      <c r="D17" s="2"/>
      <c r="E17" s="2"/>
      <c r="F17" s="2" t="s">
        <v>5</v>
      </c>
      <c r="G17" s="2" t="n">
        <v>1</v>
      </c>
      <c r="H17" s="2" t="s">
        <v>6</v>
      </c>
      <c r="I17" s="2"/>
      <c r="J17" s="2"/>
      <c r="K17" s="2"/>
      <c r="L17" s="2"/>
      <c r="M17" s="2"/>
      <c r="N17" s="2"/>
      <c r="O17" s="2"/>
      <c r="P17" s="2"/>
      <c r="Q17" s="2"/>
      <c r="R17" s="2"/>
    </row>
    <row r="18" customFormat="false" ht="15" hidden="false" customHeight="false" outlineLevel="0" collapsed="false">
      <c r="A18" s="2"/>
      <c r="B18" s="2" t="s">
        <v>7</v>
      </c>
      <c r="C18" s="2"/>
      <c r="D18" s="2"/>
      <c r="E18" s="2"/>
      <c r="F18" s="2" t="s">
        <v>5</v>
      </c>
      <c r="G18" s="2" t="n">
        <f aca="false">G17/12</f>
        <v>0.0833333333333333</v>
      </c>
      <c r="H18" s="2" t="s">
        <v>8</v>
      </c>
      <c r="I18" s="2"/>
      <c r="J18" s="2"/>
      <c r="K18" s="2"/>
      <c r="L18" s="2"/>
      <c r="M18" s="2"/>
      <c r="N18" s="2"/>
      <c r="O18" s="2"/>
      <c r="P18" s="2"/>
      <c r="Q18" s="2"/>
      <c r="R18" s="2"/>
    </row>
    <row r="19" customFormat="false" ht="15" hidden="false" customHeight="false" outlineLevel="0" collapsed="false">
      <c r="A19" s="2"/>
      <c r="B19" s="2" t="s">
        <v>16</v>
      </c>
      <c r="C19" s="2"/>
      <c r="D19" s="2"/>
      <c r="E19" s="2"/>
      <c r="F19" s="2" t="s">
        <v>5</v>
      </c>
      <c r="G19" s="5" t="n">
        <f aca="false">G18*G16</f>
        <v>4166.66666666667</v>
      </c>
      <c r="H19" s="2" t="s">
        <v>10</v>
      </c>
      <c r="I19" s="2"/>
      <c r="J19" s="2"/>
      <c r="K19" s="2"/>
      <c r="L19" s="2"/>
      <c r="M19" s="2"/>
      <c r="N19" s="2"/>
      <c r="O19" s="2"/>
      <c r="P19" s="2"/>
      <c r="Q19" s="2"/>
      <c r="R19" s="2"/>
    </row>
    <row r="20" customFormat="false" ht="15" hidden="false" customHeight="false" outlineLevel="0" collapsed="false">
      <c r="A20" s="2" t="s">
        <v>11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</row>
    <row r="21" customFormat="false" ht="15" hidden="false" customHeight="false" outlineLevel="0" collapsed="false">
      <c r="A21" s="2"/>
      <c r="B21" s="2"/>
      <c r="C21" s="2"/>
      <c r="D21" s="2"/>
      <c r="E21" s="2"/>
      <c r="F21" s="2" t="s">
        <v>5</v>
      </c>
      <c r="G21" s="6" t="n">
        <f aca="false">G19/60/60</f>
        <v>1.15740740740741</v>
      </c>
      <c r="H21" s="2" t="s">
        <v>12</v>
      </c>
      <c r="I21" s="2"/>
      <c r="J21" s="2"/>
      <c r="K21" s="2"/>
      <c r="L21" s="2"/>
      <c r="M21" s="2"/>
      <c r="N21" s="2"/>
      <c r="O21" s="2"/>
      <c r="P21" s="2"/>
      <c r="Q21" s="2"/>
      <c r="R21" s="2"/>
    </row>
    <row r="22" customFormat="false" ht="15" hidden="false" customHeight="false" outlineLevel="0" collapsed="false">
      <c r="A22" s="2" t="s">
        <v>17</v>
      </c>
      <c r="B22" s="2"/>
      <c r="C22" s="2"/>
      <c r="D22" s="2"/>
      <c r="E22" s="2"/>
      <c r="F22" s="2"/>
      <c r="G22" s="6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</row>
    <row r="23" customFormat="false" ht="19.7" hidden="false" customHeight="false" outlineLevel="0" collapsed="false">
      <c r="A23" s="1" t="s">
        <v>18</v>
      </c>
      <c r="B23" s="2"/>
      <c r="C23" s="2"/>
      <c r="D23" s="2"/>
      <c r="E23" s="2"/>
      <c r="F23" s="2"/>
      <c r="G23" s="6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</row>
    <row r="24" customFormat="false" ht="15" hidden="false" customHeight="false" outlineLevel="0" collapsed="false">
      <c r="A24" s="2"/>
      <c r="B24" s="2"/>
      <c r="C24" s="2"/>
      <c r="D24" s="2"/>
      <c r="E24" s="2"/>
      <c r="F24" s="2"/>
      <c r="G24" s="6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</row>
    <row r="25" customFormat="false" ht="15" hidden="false" customHeight="false" outlineLevel="0" collapsed="false">
      <c r="A25" s="2" t="s">
        <v>19</v>
      </c>
      <c r="B25" s="2"/>
      <c r="C25" s="2"/>
      <c r="D25" s="2"/>
      <c r="E25" s="2"/>
      <c r="F25" s="2"/>
      <c r="G25" s="6" t="n">
        <v>0.4</v>
      </c>
      <c r="H25" s="2" t="s">
        <v>20</v>
      </c>
      <c r="I25" s="2"/>
      <c r="J25" s="2"/>
      <c r="K25" s="2"/>
      <c r="L25" s="2"/>
      <c r="M25" s="2"/>
      <c r="N25" s="2"/>
      <c r="O25" s="2"/>
      <c r="P25" s="2"/>
      <c r="Q25" s="2"/>
      <c r="R25" s="2"/>
    </row>
    <row r="26" customFormat="false" ht="15" hidden="false" customHeight="false" outlineLevel="0" collapsed="false">
      <c r="A26" s="2"/>
      <c r="B26" s="2"/>
      <c r="C26" s="2"/>
      <c r="D26" s="2"/>
      <c r="E26" s="2"/>
      <c r="F26" s="2"/>
      <c r="G26" s="6" t="n">
        <f aca="false">G25*12</f>
        <v>4.8</v>
      </c>
      <c r="H26" s="2" t="s">
        <v>21</v>
      </c>
      <c r="I26" s="2"/>
      <c r="J26" s="2"/>
      <c r="K26" s="2"/>
      <c r="L26" s="2"/>
      <c r="M26" s="2"/>
      <c r="N26" s="2"/>
      <c r="O26" s="2"/>
      <c r="P26" s="2"/>
      <c r="Q26" s="2"/>
      <c r="R26" s="2"/>
    </row>
    <row r="27" customFormat="false" ht="15" hidden="false" customHeight="false" outlineLevel="0" collapsed="false">
      <c r="A27" s="2" t="s">
        <v>17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</row>
    <row r="28" customFormat="false" ht="19.7" hidden="false" customHeight="false" outlineLevel="0" collapsed="false">
      <c r="A28" s="1" t="s">
        <v>22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</row>
    <row r="29" customFormat="false" ht="19.7" hidden="false" customHeight="false" outlineLevel="0" collapsed="false">
      <c r="A29" s="1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</row>
    <row r="30" customFormat="false" ht="17.35" hidden="false" customHeight="false" outlineLevel="0" collapsed="false">
      <c r="A30" s="3" t="s">
        <v>23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</row>
    <row r="31" customFormat="false" ht="19.7" hidden="false" customHeight="false" outlineLevel="0" collapsed="false">
      <c r="A31" s="1" t="s">
        <v>24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</row>
    <row r="32" customFormat="false" ht="15" hidden="false" customHeight="false" outlineLevel="0" collapsed="false">
      <c r="A32" s="2" t="s">
        <v>25</v>
      </c>
      <c r="B32" s="2"/>
      <c r="C32" s="2"/>
      <c r="D32" s="2"/>
      <c r="E32" s="2"/>
      <c r="F32" s="2"/>
      <c r="G32" s="2" t="n">
        <v>5.01</v>
      </c>
      <c r="H32" s="2" t="s">
        <v>12</v>
      </c>
      <c r="I32" s="2"/>
      <c r="J32" s="2"/>
      <c r="K32" s="2"/>
      <c r="L32" s="2"/>
      <c r="M32" s="2"/>
      <c r="N32" s="2"/>
      <c r="O32" s="2"/>
      <c r="P32" s="2"/>
      <c r="Q32" s="2"/>
      <c r="R32" s="2"/>
    </row>
    <row r="33" customFormat="false" ht="15" hidden="false" customHeight="false" outlineLevel="0" collapsed="false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</row>
    <row r="34" customFormat="false" ht="15" hidden="false" customHeight="false" outlineLevel="0" collapsed="false">
      <c r="A34" s="2" t="s">
        <v>19</v>
      </c>
      <c r="B34" s="2"/>
      <c r="C34" s="2"/>
      <c r="D34" s="2"/>
      <c r="E34" s="2"/>
      <c r="F34" s="2"/>
      <c r="G34" s="6" t="n">
        <v>0.76</v>
      </c>
      <c r="H34" s="2" t="s">
        <v>20</v>
      </c>
      <c r="I34" s="2"/>
      <c r="J34" s="2"/>
      <c r="K34" s="2"/>
      <c r="L34" s="2"/>
      <c r="M34" s="2"/>
      <c r="N34" s="2"/>
      <c r="O34" s="2"/>
      <c r="P34" s="2"/>
      <c r="Q34" s="2"/>
      <c r="R34" s="2"/>
    </row>
    <row r="35" customFormat="false" ht="15" hidden="false" customHeight="false" outlineLevel="0" collapsed="false">
      <c r="A35" s="2"/>
      <c r="B35" s="2"/>
      <c r="C35" s="2"/>
      <c r="D35" s="2"/>
      <c r="E35" s="2"/>
      <c r="F35" s="2"/>
      <c r="G35" s="6" t="n">
        <f aca="false">G34*12</f>
        <v>9.12</v>
      </c>
      <c r="H35" s="2" t="s">
        <v>21</v>
      </c>
      <c r="I35" s="2"/>
      <c r="J35" s="2"/>
      <c r="K35" s="2"/>
      <c r="L35" s="2"/>
      <c r="M35" s="2"/>
      <c r="N35" s="2"/>
      <c r="O35" s="2"/>
      <c r="P35" s="2"/>
      <c r="Q35" s="2"/>
      <c r="R35" s="2"/>
    </row>
    <row r="36" customFormat="false" ht="15" hidden="false" customHeight="false" outlineLevel="0" collapsed="false">
      <c r="A36" s="2" t="s">
        <v>17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</row>
    <row r="37" customFormat="false" ht="19.7" hidden="false" customHeight="false" outlineLevel="0" collapsed="false">
      <c r="A37" s="1" t="s">
        <v>26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</row>
    <row r="38" customFormat="false" ht="15" hidden="false" customHeight="false" outlineLevel="0" collapsed="false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</row>
    <row r="39" customFormat="false" ht="15" hidden="false" customHeight="false" outlineLevel="0" collapsed="false">
      <c r="A39" s="2" t="s">
        <v>27</v>
      </c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</row>
    <row r="40" customFormat="false" ht="15" hidden="false" customHeight="false" outlineLevel="0" collapsed="false">
      <c r="A40" s="2" t="s">
        <v>28</v>
      </c>
      <c r="B40" s="2"/>
      <c r="C40" s="2"/>
      <c r="D40" s="2"/>
      <c r="E40" s="2"/>
      <c r="F40" s="2"/>
      <c r="G40" s="2" t="n">
        <v>0.67</v>
      </c>
      <c r="H40" s="2" t="s">
        <v>29</v>
      </c>
      <c r="I40" s="2"/>
      <c r="J40" s="2"/>
      <c r="K40" s="2"/>
      <c r="L40" s="2"/>
      <c r="M40" s="2"/>
      <c r="N40" s="2"/>
      <c r="O40" s="2"/>
      <c r="P40" s="2"/>
      <c r="Q40" s="2"/>
      <c r="R40" s="2"/>
    </row>
    <row r="41" customFormat="false" ht="15" hidden="false" customHeight="false" outlineLevel="0" collapsed="false">
      <c r="A41" s="2"/>
      <c r="B41" s="2"/>
      <c r="C41" s="2"/>
      <c r="D41" s="2"/>
      <c r="E41" s="2"/>
      <c r="F41" s="2"/>
      <c r="G41" s="6" t="n">
        <f aca="false">G40*12</f>
        <v>8.04</v>
      </c>
      <c r="H41" s="2" t="s">
        <v>21</v>
      </c>
      <c r="I41" s="2"/>
      <c r="J41" s="2"/>
      <c r="K41" s="2"/>
      <c r="L41" s="2"/>
      <c r="M41" s="2"/>
      <c r="N41" s="2"/>
      <c r="O41" s="2"/>
      <c r="P41" s="2"/>
      <c r="Q41" s="2"/>
      <c r="R41" s="2"/>
    </row>
    <row r="42" customFormat="false" ht="15.75" hidden="false" customHeight="false" outlineLevel="0" collapsed="false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</row>
    <row r="43" customFormat="false" ht="15.75" hidden="false" customHeight="false" outlineLevel="0" collapsed="false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</row>
    <row r="44" customFormat="false" ht="15.75" hidden="false" customHeight="false" outlineLevel="0" collapsed="false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</row>
    <row r="45" customFormat="false" ht="15.75" hidden="false" customHeight="false" outlineLevel="0" collapsed="false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</row>
    <row r="46" customFormat="false" ht="15.75" hidden="false" customHeight="false" outlineLevel="0" collapsed="false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</row>
    <row r="47" customFormat="false" ht="15.75" hidden="false" customHeight="false" outlineLevel="0" collapsed="false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</row>
    <row r="48" customFormat="false" ht="15.75" hidden="false" customHeight="false" outlineLevel="0" collapsed="false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</row>
    <row r="49" customFormat="false" ht="15.75" hidden="false" customHeight="false" outlineLevel="0" collapsed="false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</row>
    <row r="50" customFormat="false" ht="15.75" hidden="false" customHeight="false" outlineLevel="0" collapsed="false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</row>
    <row r="51" customFormat="false" ht="15.75" hidden="false" customHeight="false" outlineLevel="0" collapsed="false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S3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9" activeCellId="0" sqref="D9"/>
    </sheetView>
  </sheetViews>
  <sheetFormatPr defaultColWidth="8.6796875" defaultRowHeight="15" customHeight="true" zeroHeight="false" outlineLevelRow="0" outlineLevelCol="0"/>
  <cols>
    <col collapsed="false" customWidth="true" hidden="false" outlineLevel="0" max="2" min="1" style="0" width="9.29"/>
    <col collapsed="false" customWidth="true" hidden="false" outlineLevel="0" max="3" min="3" style="0" width="10.71"/>
    <col collapsed="false" customWidth="true" hidden="false" outlineLevel="0" max="4" min="4" style="0" width="8.86"/>
    <col collapsed="false" customWidth="true" hidden="false" outlineLevel="0" max="5" min="5" style="0" width="10"/>
    <col collapsed="false" customWidth="true" hidden="false" outlineLevel="0" max="6" min="6" style="0" width="9.29"/>
    <col collapsed="false" customWidth="true" hidden="false" outlineLevel="0" max="9" min="7" style="0" width="10.71"/>
  </cols>
  <sheetData>
    <row r="1" customFormat="false" ht="17.35" hidden="false" customHeight="false" outlineLevel="0" collapsed="false">
      <c r="A1" s="7" t="s">
        <v>30</v>
      </c>
      <c r="B1" s="3"/>
      <c r="C1" s="3"/>
      <c r="D1" s="3"/>
      <c r="E1" s="3"/>
      <c r="F1" s="3"/>
      <c r="G1" s="3"/>
      <c r="H1" s="3"/>
      <c r="I1" s="3"/>
      <c r="K1" s="3"/>
      <c r="L1" s="3"/>
      <c r="M1" s="3"/>
      <c r="N1" s="3"/>
      <c r="O1" s="3"/>
      <c r="P1" s="3"/>
      <c r="Q1" s="3"/>
      <c r="R1" s="3"/>
      <c r="S1" s="3"/>
    </row>
    <row r="2" customFormat="false" ht="17.35" hidden="false" customHeight="false" outlineLevel="0" collapsed="false">
      <c r="A2" s="7"/>
      <c r="B2" s="3"/>
      <c r="C2" s="3"/>
      <c r="D2" s="3"/>
      <c r="E2" s="3"/>
      <c r="F2" s="3"/>
      <c r="G2" s="3"/>
      <c r="H2" s="3"/>
      <c r="I2" s="3"/>
      <c r="K2" s="3"/>
      <c r="L2" s="3"/>
      <c r="M2" s="3"/>
      <c r="N2" s="3"/>
      <c r="O2" s="3"/>
      <c r="P2" s="3"/>
      <c r="Q2" s="3"/>
      <c r="R2" s="3"/>
      <c r="S2" s="3"/>
    </row>
    <row r="3" customFormat="false" ht="17.35" hidden="false" customHeight="false" outlineLevel="0" collapsed="false">
      <c r="A3" s="3"/>
      <c r="B3" s="3"/>
      <c r="C3" s="7" t="s">
        <v>31</v>
      </c>
      <c r="D3" s="3"/>
      <c r="E3" s="3"/>
      <c r="F3" s="3"/>
      <c r="G3" s="3"/>
      <c r="H3" s="3"/>
      <c r="I3" s="3"/>
      <c r="K3" s="3"/>
      <c r="L3" s="3"/>
      <c r="M3" s="3"/>
      <c r="N3" s="3"/>
      <c r="O3" s="3"/>
      <c r="P3" s="3"/>
      <c r="Q3" s="3"/>
      <c r="R3" s="3"/>
      <c r="S3" s="3"/>
    </row>
    <row r="4" customFormat="false" ht="17.35" hidden="false" customHeight="false" outlineLevel="0" collapsed="false">
      <c r="A4" s="3"/>
      <c r="B4" s="3"/>
      <c r="C4" s="3"/>
      <c r="D4" s="3"/>
      <c r="E4" s="3"/>
      <c r="F4" s="3"/>
      <c r="G4" s="3"/>
      <c r="H4" s="3"/>
      <c r="I4" s="3"/>
      <c r="K4" s="3"/>
      <c r="L4" s="3"/>
      <c r="M4" s="3"/>
      <c r="N4" s="3"/>
      <c r="O4" s="3"/>
      <c r="P4" s="3"/>
      <c r="Q4" s="3"/>
      <c r="R4" s="3"/>
      <c r="S4" s="3"/>
    </row>
    <row r="5" customFormat="false" ht="17.35" hidden="false" customHeight="false" outlineLevel="0" collapsed="false">
      <c r="A5" s="3"/>
      <c r="B5" s="3"/>
      <c r="C5" s="3"/>
      <c r="D5" s="3"/>
      <c r="E5" s="3"/>
      <c r="F5" s="3"/>
      <c r="G5" s="3"/>
      <c r="H5" s="3"/>
      <c r="I5" s="3"/>
      <c r="K5" s="3"/>
      <c r="L5" s="3"/>
      <c r="M5" s="3"/>
      <c r="N5" s="3"/>
      <c r="O5" s="3"/>
      <c r="P5" s="3"/>
      <c r="Q5" s="3"/>
      <c r="R5" s="3"/>
      <c r="S5" s="3"/>
    </row>
    <row r="6" customFormat="false" ht="64.15" hidden="false" customHeight="false" outlineLevel="0" collapsed="false">
      <c r="A6" s="8" t="s">
        <v>32</v>
      </c>
      <c r="B6" s="9" t="s">
        <v>33</v>
      </c>
      <c r="C6" s="9" t="s">
        <v>34</v>
      </c>
      <c r="D6" s="10" t="s">
        <v>35</v>
      </c>
      <c r="E6" s="11" t="s">
        <v>36</v>
      </c>
      <c r="F6" s="11" t="s">
        <v>37</v>
      </c>
      <c r="G6" s="9" t="s">
        <v>38</v>
      </c>
      <c r="H6" s="12" t="s">
        <v>39</v>
      </c>
      <c r="I6" s="13" t="s">
        <v>40</v>
      </c>
      <c r="J6" s="14"/>
      <c r="K6" s="3"/>
      <c r="L6" s="3"/>
      <c r="M6" s="3"/>
      <c r="N6" s="3"/>
      <c r="O6" s="3"/>
      <c r="P6" s="3"/>
      <c r="Q6" s="3"/>
      <c r="R6" s="3"/>
      <c r="S6" s="3"/>
    </row>
    <row r="7" customFormat="false" ht="17.35" hidden="false" customHeight="false" outlineLevel="0" collapsed="false">
      <c r="A7" s="15" t="s">
        <v>41</v>
      </c>
      <c r="B7" s="16"/>
      <c r="C7" s="17" t="s">
        <v>20</v>
      </c>
      <c r="D7" s="17" t="s">
        <v>20</v>
      </c>
      <c r="E7" s="17" t="s">
        <v>42</v>
      </c>
      <c r="F7" s="17" t="s">
        <v>20</v>
      </c>
      <c r="G7" s="17" t="s">
        <v>20</v>
      </c>
      <c r="H7" s="18" t="s">
        <v>43</v>
      </c>
      <c r="I7" s="19" t="s">
        <v>44</v>
      </c>
      <c r="J7" s="14"/>
      <c r="K7" s="3"/>
      <c r="L7" s="3"/>
      <c r="M7" s="3"/>
      <c r="N7" s="3"/>
      <c r="O7" s="3"/>
      <c r="P7" s="3"/>
      <c r="Q7" s="3"/>
      <c r="R7" s="3"/>
      <c r="S7" s="3"/>
    </row>
    <row r="8" customFormat="false" ht="17.35" hidden="false" customHeight="false" outlineLevel="0" collapsed="false">
      <c r="A8" s="20" t="n">
        <v>0.01</v>
      </c>
      <c r="B8" s="20" t="n">
        <v>0.015</v>
      </c>
      <c r="C8" s="20" t="n">
        <v>1.33</v>
      </c>
      <c r="D8" s="20" t="n">
        <v>0.76</v>
      </c>
      <c r="E8" s="21" t="n">
        <f aca="false">C8*D8</f>
        <v>1.0108</v>
      </c>
      <c r="F8" s="21" t="n">
        <f aca="false">2*D8+C8</f>
        <v>2.85</v>
      </c>
      <c r="G8" s="21" t="n">
        <f aca="false">(D8*C8)/(C8+2*D8)</f>
        <v>0.354666666666667</v>
      </c>
      <c r="H8" s="22" t="n">
        <f aca="false">(1.49/$B8)*E8*((G8)^(2/3))*((A8)^(1/2))</f>
        <v>5.0308398391561</v>
      </c>
      <c r="I8" s="23" t="n">
        <f aca="false">H8/E8</f>
        <v>4.97708729635546</v>
      </c>
      <c r="K8" s="3"/>
      <c r="L8" s="3"/>
      <c r="M8" s="3"/>
      <c r="N8" s="3"/>
      <c r="O8" s="3"/>
      <c r="P8" s="3"/>
      <c r="Q8" s="3"/>
      <c r="R8" s="3"/>
      <c r="S8" s="3"/>
    </row>
    <row r="9" customFormat="false" ht="17.35" hidden="false" customHeight="false" outlineLevel="0" collapsed="false">
      <c r="K9" s="3"/>
      <c r="L9" s="3"/>
      <c r="M9" s="3"/>
      <c r="N9" s="3"/>
      <c r="O9" s="3"/>
      <c r="P9" s="3"/>
      <c r="Q9" s="3"/>
      <c r="R9" s="3"/>
      <c r="S9" s="3"/>
    </row>
    <row r="10" customFormat="false" ht="17.35" hidden="false" customHeight="false" outlineLevel="0" collapsed="false">
      <c r="K10" s="3"/>
      <c r="L10" s="3"/>
      <c r="M10" s="3"/>
      <c r="N10" s="3"/>
      <c r="O10" s="3"/>
      <c r="P10" s="3"/>
      <c r="Q10" s="3"/>
      <c r="R10" s="3"/>
      <c r="S10" s="3"/>
    </row>
    <row r="11" customFormat="false" ht="17.35" hidden="false" customHeight="false" outlineLevel="0" collapsed="false">
      <c r="K11" s="3"/>
      <c r="L11" s="3"/>
      <c r="M11" s="3"/>
      <c r="N11" s="3"/>
      <c r="O11" s="3"/>
      <c r="P11" s="3"/>
      <c r="Q11" s="3"/>
      <c r="R11" s="3"/>
      <c r="S11" s="3"/>
    </row>
    <row r="12" customFormat="false" ht="17.35" hidden="false" customHeight="false" outlineLevel="0" collapsed="false">
      <c r="K12" s="3"/>
      <c r="L12" s="3"/>
      <c r="M12" s="3"/>
      <c r="N12" s="3"/>
      <c r="O12" s="3"/>
      <c r="P12" s="3"/>
      <c r="Q12" s="3"/>
      <c r="R12" s="3"/>
      <c r="S12" s="3"/>
    </row>
    <row r="13" customFormat="false" ht="17.35" hidden="false" customHeight="false" outlineLevel="0" collapsed="false">
      <c r="K13" s="3"/>
      <c r="L13" s="3"/>
      <c r="M13" s="3"/>
      <c r="N13" s="3"/>
      <c r="O13" s="3"/>
      <c r="P13" s="3"/>
      <c r="Q13" s="3"/>
      <c r="R13" s="3"/>
      <c r="S13" s="3"/>
    </row>
    <row r="14" customFormat="false" ht="17.35" hidden="false" customHeight="false" outlineLevel="0" collapsed="false">
      <c r="K14" s="3"/>
      <c r="L14" s="3"/>
      <c r="M14" s="3"/>
      <c r="N14" s="3"/>
      <c r="O14" s="3"/>
      <c r="P14" s="3"/>
      <c r="Q14" s="3"/>
      <c r="R14" s="3"/>
      <c r="S14" s="3"/>
    </row>
    <row r="15" customFormat="false" ht="17.35" hidden="false" customHeight="false" outlineLevel="0" collapsed="false">
      <c r="K15" s="3"/>
      <c r="L15" s="3"/>
      <c r="M15" s="3"/>
      <c r="N15" s="3"/>
      <c r="O15" s="3"/>
      <c r="P15" s="3"/>
      <c r="Q15" s="3"/>
      <c r="R15" s="3"/>
      <c r="S15" s="3"/>
    </row>
    <row r="16" customFormat="false" ht="17.35" hidden="false" customHeight="false" outlineLevel="0" collapsed="false">
      <c r="K16" s="3"/>
      <c r="L16" s="3"/>
      <c r="M16" s="3"/>
      <c r="N16" s="3"/>
      <c r="O16" s="3"/>
      <c r="P16" s="3"/>
      <c r="Q16" s="3"/>
      <c r="R16" s="3"/>
      <c r="S16" s="3"/>
    </row>
    <row r="17" customFormat="false" ht="17.35" hidden="false" customHeight="false" outlineLevel="0" collapsed="false">
      <c r="I17" s="24"/>
      <c r="J17" s="24"/>
      <c r="K17" s="3"/>
      <c r="L17" s="3"/>
      <c r="M17" s="3"/>
      <c r="N17" s="3"/>
      <c r="O17" s="3"/>
      <c r="P17" s="3"/>
      <c r="Q17" s="3"/>
      <c r="R17" s="3"/>
      <c r="S17" s="3"/>
    </row>
    <row r="18" customFormat="false" ht="17.35" hidden="false" customHeight="false" outlineLevel="0" collapsed="false">
      <c r="A18" s="0" t="s">
        <v>45</v>
      </c>
      <c r="K18" s="3"/>
      <c r="L18" s="3"/>
      <c r="M18" s="3"/>
      <c r="N18" s="3"/>
      <c r="O18" s="3"/>
      <c r="P18" s="3"/>
      <c r="Q18" s="3"/>
      <c r="R18" s="3"/>
      <c r="S18" s="3"/>
    </row>
    <row r="19" customFormat="false" ht="18" hidden="false" customHeight="false" outlineLevel="0" collapsed="false">
      <c r="K19" s="3"/>
      <c r="L19" s="3"/>
      <c r="M19" s="3"/>
      <c r="N19" s="3"/>
      <c r="O19" s="3"/>
      <c r="P19" s="3"/>
      <c r="Q19" s="3"/>
      <c r="R19" s="3"/>
      <c r="S19" s="3"/>
    </row>
    <row r="20" customFormat="false" ht="18" hidden="false" customHeight="false" outlineLevel="0" collapsed="false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</row>
    <row r="21" customFormat="false" ht="18" hidden="false" customHeight="false" outlineLevel="0" collapsed="false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</row>
    <row r="22" customFormat="false" ht="18" hidden="false" customHeight="false" outlineLevel="0" collapsed="false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</row>
    <row r="23" customFormat="false" ht="18" hidden="false" customHeight="false" outlineLevel="0" collapsed="false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</row>
    <row r="24" customFormat="false" ht="18" hidden="false" customHeight="false" outlineLevel="0" collapsed="false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</row>
    <row r="25" customFormat="false" ht="18" hidden="false" customHeight="false" outlineLevel="0" collapsed="false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</row>
    <row r="26" customFormat="false" ht="18" hidden="false" customHeight="false" outlineLevel="0" collapsed="false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</row>
    <row r="27" customFormat="false" ht="18" hidden="false" customHeight="false" outlineLevel="0" collapsed="false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</row>
    <row r="28" customFormat="false" ht="18" hidden="false" customHeight="false" outlineLevel="0" collapsed="false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</row>
    <row r="29" customFormat="false" ht="18" hidden="false" customHeight="false" outlineLevel="0" collapsed="false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</row>
    <row r="30" customFormat="false" ht="18" hidden="false" customHeight="false" outlineLevel="0" collapsed="false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</row>
    <row r="31" customFormat="false" ht="18" hidden="false" customHeight="false" outlineLevel="0" collapsed="false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</row>
    <row r="32" customFormat="false" ht="18" hidden="false" customHeight="false" outlineLevel="0" collapsed="false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</row>
    <row r="33" customFormat="false" ht="18" hidden="false" customHeight="false" outlineLevel="0" collapsed="false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S3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D6" activeCellId="0" sqref="D6"/>
    </sheetView>
  </sheetViews>
  <sheetFormatPr defaultColWidth="8.6796875" defaultRowHeight="15" customHeight="true" zeroHeight="false" outlineLevelRow="0" outlineLevelCol="0"/>
  <cols>
    <col collapsed="false" customWidth="true" hidden="false" outlineLevel="0" max="2" min="1" style="0" width="9.29"/>
    <col collapsed="false" customWidth="true" hidden="false" outlineLevel="0" max="3" min="3" style="0" width="10.71"/>
    <col collapsed="false" customWidth="true" hidden="false" outlineLevel="0" max="4" min="4" style="0" width="8.86"/>
    <col collapsed="false" customWidth="true" hidden="false" outlineLevel="0" max="5" min="5" style="0" width="10"/>
    <col collapsed="false" customWidth="true" hidden="false" outlineLevel="0" max="6" min="6" style="0" width="9.29"/>
    <col collapsed="false" customWidth="true" hidden="false" outlineLevel="0" max="9" min="7" style="0" width="10.71"/>
  </cols>
  <sheetData>
    <row r="1" customFormat="false" ht="17.35" hidden="false" customHeight="false" outlineLevel="0" collapsed="false">
      <c r="C1" s="25" t="s">
        <v>46</v>
      </c>
      <c r="D1" s="26"/>
      <c r="K1" s="3"/>
      <c r="L1" s="3"/>
      <c r="M1" s="3"/>
      <c r="N1" s="3"/>
      <c r="O1" s="3"/>
      <c r="P1" s="3"/>
      <c r="Q1" s="3"/>
      <c r="R1" s="3"/>
      <c r="S1" s="3"/>
    </row>
    <row r="2" customFormat="false" ht="17.35" hidden="false" customHeight="false" outlineLevel="0" collapsed="false">
      <c r="K2" s="3"/>
      <c r="L2" s="3"/>
      <c r="M2" s="3"/>
      <c r="N2" s="3"/>
      <c r="O2" s="3"/>
      <c r="P2" s="3"/>
      <c r="Q2" s="3"/>
      <c r="R2" s="3"/>
      <c r="S2" s="3"/>
    </row>
    <row r="3" customFormat="false" ht="26.85" hidden="false" customHeight="false" outlineLevel="0" collapsed="false">
      <c r="A3" s="27" t="s">
        <v>32</v>
      </c>
      <c r="B3" s="27" t="s">
        <v>33</v>
      </c>
      <c r="C3" s="27" t="s">
        <v>47</v>
      </c>
      <c r="D3" s="28" t="s">
        <v>48</v>
      </c>
      <c r="E3" s="29" t="s">
        <v>36</v>
      </c>
      <c r="F3" s="29" t="s">
        <v>49</v>
      </c>
      <c r="G3" s="27" t="s">
        <v>50</v>
      </c>
      <c r="H3" s="30" t="s">
        <v>39</v>
      </c>
      <c r="I3" s="31" t="s">
        <v>40</v>
      </c>
      <c r="K3" s="3"/>
      <c r="L3" s="3"/>
      <c r="M3" s="3"/>
      <c r="N3" s="3"/>
      <c r="O3" s="3"/>
      <c r="P3" s="3"/>
      <c r="Q3" s="3"/>
      <c r="R3" s="3"/>
      <c r="S3" s="3"/>
    </row>
    <row r="4" customFormat="false" ht="17.35" hidden="false" customHeight="false" outlineLevel="0" collapsed="false">
      <c r="A4" s="32" t="s">
        <v>41</v>
      </c>
      <c r="B4" s="32"/>
      <c r="C4" s="32" t="s">
        <v>20</v>
      </c>
      <c r="D4" s="32" t="s">
        <v>20</v>
      </c>
      <c r="E4" s="32" t="s">
        <v>51</v>
      </c>
      <c r="F4" s="32" t="s">
        <v>20</v>
      </c>
      <c r="G4" s="32" t="s">
        <v>20</v>
      </c>
      <c r="H4" s="33" t="s">
        <v>52</v>
      </c>
      <c r="I4" s="34" t="s">
        <v>44</v>
      </c>
      <c r="K4" s="3"/>
      <c r="L4" s="3"/>
      <c r="M4" s="3"/>
      <c r="N4" s="3"/>
      <c r="O4" s="3"/>
      <c r="P4" s="3"/>
      <c r="Q4" s="3"/>
      <c r="R4" s="3"/>
      <c r="S4" s="3"/>
    </row>
    <row r="5" customFormat="false" ht="17.35" hidden="false" customHeight="false" outlineLevel="0" collapsed="false">
      <c r="A5" s="35" t="n">
        <v>0.01</v>
      </c>
      <c r="B5" s="36" t="n">
        <v>0.011</v>
      </c>
      <c r="C5" s="36" t="n">
        <v>0.75</v>
      </c>
      <c r="D5" s="36" t="n">
        <v>0.67</v>
      </c>
      <c r="E5" s="36" t="n">
        <f aca="false">C5^2*ACOS((C5-D5)/C5)-(C5-D5)*SQRT(C5^2-(C5-D5)^2)</f>
        <v>0.763800879326056</v>
      </c>
      <c r="F5" s="36" t="n">
        <f aca="false">2*C5*ACOS((C5-D5)/C5)</f>
        <v>2.19588951873617</v>
      </c>
      <c r="G5" s="37" t="n">
        <f aca="false">E5/F5</f>
        <v>0.347832107585111</v>
      </c>
      <c r="H5" s="38" t="n">
        <f aca="false">(1.49/B5)*E5*(G5)^(2/3)*(A5)^(1/2)</f>
        <v>5.11705615250846</v>
      </c>
      <c r="I5" s="39" t="n">
        <f aca="false">H5/E5</f>
        <v>6.69946355262582</v>
      </c>
      <c r="K5" s="3"/>
      <c r="L5" s="3"/>
      <c r="M5" s="3"/>
      <c r="N5" s="3"/>
      <c r="O5" s="3"/>
      <c r="P5" s="3"/>
      <c r="Q5" s="3"/>
      <c r="R5" s="3"/>
      <c r="S5" s="3"/>
    </row>
    <row r="6" customFormat="false" ht="17.35" hidden="false" customHeight="false" outlineLevel="0" collapsed="false">
      <c r="K6" s="3"/>
      <c r="L6" s="3"/>
      <c r="M6" s="3"/>
      <c r="N6" s="3"/>
      <c r="O6" s="3"/>
      <c r="P6" s="3"/>
      <c r="Q6" s="3"/>
      <c r="R6" s="3"/>
      <c r="S6" s="3"/>
    </row>
    <row r="7" customFormat="false" ht="17.35" hidden="false" customHeight="false" outlineLevel="0" collapsed="false">
      <c r="K7" s="3"/>
      <c r="L7" s="3"/>
      <c r="M7" s="3"/>
      <c r="N7" s="3"/>
      <c r="O7" s="3"/>
      <c r="P7" s="3"/>
      <c r="Q7" s="3"/>
      <c r="R7" s="3"/>
      <c r="S7" s="3"/>
    </row>
    <row r="8" customFormat="false" ht="17.35" hidden="false" customHeight="false" outlineLevel="0" collapsed="false">
      <c r="K8" s="3"/>
      <c r="L8" s="3"/>
      <c r="M8" s="3"/>
      <c r="N8" s="3"/>
      <c r="O8" s="3"/>
      <c r="P8" s="3"/>
      <c r="Q8" s="3"/>
      <c r="R8" s="3"/>
      <c r="S8" s="3"/>
    </row>
    <row r="9" customFormat="false" ht="17.35" hidden="false" customHeight="false" outlineLevel="0" collapsed="false">
      <c r="K9" s="3"/>
      <c r="L9" s="3"/>
      <c r="M9" s="3"/>
      <c r="N9" s="3"/>
      <c r="O9" s="3"/>
      <c r="P9" s="3"/>
      <c r="Q9" s="3"/>
      <c r="R9" s="3"/>
      <c r="S9" s="3"/>
    </row>
    <row r="10" customFormat="false" ht="17.35" hidden="false" customHeight="false" outlineLevel="0" collapsed="false">
      <c r="K10" s="3"/>
      <c r="L10" s="3"/>
      <c r="M10" s="3"/>
      <c r="N10" s="3"/>
      <c r="O10" s="3"/>
      <c r="P10" s="3"/>
      <c r="Q10" s="3"/>
      <c r="R10" s="3"/>
      <c r="S10" s="3"/>
    </row>
    <row r="11" customFormat="false" ht="17.35" hidden="false" customHeight="false" outlineLevel="0" collapsed="false">
      <c r="K11" s="3"/>
      <c r="L11" s="3"/>
      <c r="M11" s="3"/>
      <c r="N11" s="3"/>
      <c r="O11" s="3"/>
      <c r="P11" s="3"/>
      <c r="Q11" s="3"/>
      <c r="R11" s="3"/>
      <c r="S11" s="3"/>
    </row>
    <row r="12" customFormat="false" ht="17.35" hidden="false" customHeight="false" outlineLevel="0" collapsed="false">
      <c r="K12" s="3"/>
      <c r="L12" s="3"/>
      <c r="M12" s="3"/>
      <c r="N12" s="3"/>
      <c r="O12" s="3"/>
      <c r="P12" s="3"/>
      <c r="Q12" s="3"/>
      <c r="R12" s="3"/>
      <c r="S12" s="3"/>
    </row>
    <row r="13" customFormat="false" ht="17.35" hidden="false" customHeight="false" outlineLevel="0" collapsed="false">
      <c r="K13" s="3"/>
      <c r="L13" s="3"/>
      <c r="M13" s="3"/>
      <c r="N13" s="3"/>
      <c r="O13" s="3"/>
      <c r="P13" s="3"/>
      <c r="Q13" s="3"/>
      <c r="R13" s="3"/>
      <c r="S13" s="3"/>
    </row>
    <row r="14" customFormat="false" ht="17.35" hidden="false" customHeight="false" outlineLevel="0" collapsed="false">
      <c r="K14" s="3"/>
      <c r="L14" s="3"/>
      <c r="M14" s="3"/>
      <c r="N14" s="3"/>
      <c r="O14" s="3"/>
      <c r="P14" s="3"/>
      <c r="Q14" s="3"/>
      <c r="R14" s="3"/>
      <c r="S14" s="3"/>
    </row>
    <row r="15" customFormat="false" ht="17.35" hidden="false" customHeight="false" outlineLevel="0" collapsed="false">
      <c r="K15" s="3"/>
      <c r="L15" s="3"/>
      <c r="M15" s="3"/>
      <c r="N15" s="3"/>
      <c r="O15" s="3"/>
      <c r="P15" s="3"/>
      <c r="Q15" s="3"/>
      <c r="R15" s="3"/>
      <c r="S15" s="3"/>
    </row>
    <row r="16" customFormat="false" ht="17.35" hidden="false" customHeight="false" outlineLevel="0" collapsed="false">
      <c r="K16" s="3"/>
      <c r="L16" s="3"/>
      <c r="M16" s="3"/>
      <c r="N16" s="3"/>
      <c r="O16" s="3"/>
      <c r="P16" s="3"/>
      <c r="Q16" s="3"/>
      <c r="R16" s="3"/>
      <c r="S16" s="3"/>
    </row>
    <row r="17" customFormat="false" ht="17.35" hidden="false" customHeight="false" outlineLevel="0" collapsed="false">
      <c r="K17" s="3"/>
      <c r="L17" s="3"/>
      <c r="M17" s="3"/>
      <c r="N17" s="3"/>
      <c r="O17" s="3"/>
      <c r="P17" s="3"/>
      <c r="Q17" s="3"/>
      <c r="R17" s="3"/>
      <c r="S17" s="3"/>
    </row>
    <row r="18" customFormat="false" ht="17.35" hidden="false" customHeight="false" outlineLevel="0" collapsed="false">
      <c r="K18" s="3"/>
      <c r="L18" s="3"/>
      <c r="M18" s="3"/>
      <c r="N18" s="3"/>
      <c r="O18" s="3"/>
      <c r="P18" s="3"/>
      <c r="Q18" s="3"/>
      <c r="R18" s="3"/>
      <c r="S18" s="3"/>
    </row>
    <row r="19" customFormat="false" ht="17.35" hidden="false" customHeight="false" outlineLevel="0" collapsed="false">
      <c r="K19" s="3"/>
      <c r="L19" s="3"/>
      <c r="M19" s="3"/>
      <c r="N19" s="3"/>
      <c r="O19" s="3"/>
      <c r="P19" s="3"/>
      <c r="Q19" s="3"/>
      <c r="R19" s="3"/>
      <c r="S19" s="3"/>
    </row>
    <row r="20" customFormat="false" ht="17.35" hidden="false" customHeight="false" outlineLevel="0" collapsed="false">
      <c r="K20" s="3"/>
      <c r="L20" s="3"/>
      <c r="M20" s="3"/>
      <c r="N20" s="3"/>
      <c r="O20" s="3"/>
      <c r="P20" s="3"/>
      <c r="Q20" s="3"/>
      <c r="R20" s="3"/>
      <c r="S20" s="3"/>
    </row>
    <row r="21" customFormat="false" ht="17.35" hidden="false" customHeight="false" outlineLevel="0" collapsed="false">
      <c r="K21" s="3"/>
      <c r="L21" s="3"/>
      <c r="M21" s="3"/>
      <c r="N21" s="3"/>
      <c r="O21" s="3"/>
      <c r="P21" s="3"/>
      <c r="Q21" s="3"/>
      <c r="R21" s="3"/>
      <c r="S21" s="3"/>
    </row>
    <row r="22" customFormat="false" ht="17.35" hidden="false" customHeight="false" outlineLevel="0" collapsed="false">
      <c r="K22" s="3"/>
      <c r="L22" s="3"/>
      <c r="M22" s="3"/>
      <c r="N22" s="3"/>
      <c r="O22" s="3"/>
      <c r="P22" s="3"/>
      <c r="Q22" s="3"/>
      <c r="R22" s="3"/>
      <c r="S22" s="3"/>
    </row>
    <row r="23" customFormat="false" ht="17.35" hidden="false" customHeight="false" outlineLevel="0" collapsed="false">
      <c r="A23" s="40" t="s">
        <v>53</v>
      </c>
      <c r="B23" s="40"/>
      <c r="D23" s="14"/>
      <c r="F23" s="41" t="s">
        <v>54</v>
      </c>
      <c r="G23" s="42" t="n">
        <f aca="false">4*I5*G5/G28</f>
        <v>269.164138284663</v>
      </c>
      <c r="K23" s="3"/>
      <c r="L23" s="3"/>
      <c r="M23" s="3"/>
      <c r="N23" s="3"/>
      <c r="O23" s="3"/>
      <c r="P23" s="3"/>
      <c r="Q23" s="3"/>
      <c r="R23" s="3"/>
      <c r="S23" s="3"/>
    </row>
    <row r="24" customFormat="false" ht="17.35" hidden="false" customHeight="false" outlineLevel="0" collapsed="false">
      <c r="A24" s="43"/>
      <c r="B24" s="14"/>
      <c r="C24" s="14"/>
      <c r="D24" s="14"/>
      <c r="E24" s="44"/>
      <c r="K24" s="3"/>
      <c r="L24" s="3"/>
      <c r="M24" s="3"/>
      <c r="N24" s="3"/>
      <c r="O24" s="3"/>
      <c r="P24" s="3"/>
      <c r="Q24" s="3"/>
      <c r="R24" s="3"/>
      <c r="S24" s="3"/>
    </row>
    <row r="25" customFormat="false" ht="17.35" hidden="false" customHeight="false" outlineLevel="0" collapsed="false">
      <c r="A25" s="40" t="s">
        <v>55</v>
      </c>
      <c r="B25" s="40"/>
      <c r="C25" s="40"/>
      <c r="D25" s="40"/>
      <c r="E25" s="44"/>
      <c r="K25" s="3"/>
      <c r="L25" s="3"/>
      <c r="M25" s="3"/>
      <c r="N25" s="3"/>
      <c r="O25" s="3"/>
      <c r="P25" s="3"/>
      <c r="Q25" s="3"/>
      <c r="R25" s="3"/>
      <c r="S25" s="3"/>
    </row>
    <row r="26" customFormat="false" ht="17.35" hidden="false" customHeight="false" outlineLevel="0" collapsed="false">
      <c r="A26" s="40" t="s">
        <v>56</v>
      </c>
      <c r="B26" s="40"/>
      <c r="C26" s="40"/>
      <c r="D26" s="40"/>
      <c r="E26" s="44"/>
      <c r="K26" s="3"/>
      <c r="L26" s="3"/>
      <c r="M26" s="3"/>
      <c r="N26" s="3"/>
      <c r="O26" s="3"/>
      <c r="P26" s="3"/>
      <c r="Q26" s="3"/>
      <c r="R26" s="3"/>
      <c r="S26" s="3"/>
    </row>
    <row r="27" customFormat="false" ht="17.35" hidden="false" customHeight="false" outlineLevel="0" collapsed="false">
      <c r="A27" s="40" t="s">
        <v>57</v>
      </c>
      <c r="B27" s="40"/>
      <c r="C27" s="40"/>
      <c r="D27" s="40"/>
      <c r="E27" s="44"/>
      <c r="K27" s="3"/>
      <c r="L27" s="3"/>
      <c r="M27" s="3"/>
      <c r="N27" s="3"/>
      <c r="O27" s="3"/>
      <c r="P27" s="3"/>
      <c r="Q27" s="3"/>
      <c r="R27" s="3"/>
      <c r="S27" s="3"/>
    </row>
    <row r="28" customFormat="false" ht="17.35" hidden="false" customHeight="false" outlineLevel="0" collapsed="false">
      <c r="A28" s="40" t="s">
        <v>58</v>
      </c>
      <c r="B28" s="40"/>
      <c r="C28" s="40"/>
      <c r="D28" s="40"/>
      <c r="E28" s="45" t="s">
        <v>59</v>
      </c>
      <c r="F28" s="45"/>
      <c r="G28" s="0" t="n">
        <v>0.03463</v>
      </c>
      <c r="K28" s="3"/>
      <c r="L28" s="3"/>
      <c r="M28" s="3"/>
      <c r="N28" s="3"/>
      <c r="O28" s="3"/>
      <c r="P28" s="3"/>
      <c r="Q28" s="3"/>
      <c r="R28" s="3"/>
      <c r="S28" s="3"/>
    </row>
    <row r="29" customFormat="false" ht="17.35" hidden="false" customHeight="false" outlineLevel="0" collapsed="false">
      <c r="A29" s="46"/>
      <c r="B29" s="14"/>
      <c r="C29" s="14"/>
      <c r="D29" s="14"/>
      <c r="E29" s="44"/>
      <c r="K29" s="3"/>
      <c r="L29" s="3"/>
      <c r="M29" s="3"/>
      <c r="N29" s="3"/>
      <c r="O29" s="3"/>
      <c r="P29" s="3"/>
      <c r="Q29" s="3"/>
      <c r="R29" s="3"/>
      <c r="S29" s="3"/>
    </row>
    <row r="30" customFormat="false" ht="17.35" hidden="false" customHeight="true" outlineLevel="0" collapsed="false">
      <c r="A30" s="47" t="s">
        <v>60</v>
      </c>
      <c r="B30" s="47"/>
      <c r="C30" s="47"/>
      <c r="D30" s="47"/>
      <c r="E30" s="47"/>
      <c r="F30" s="47"/>
      <c r="G30" s="47"/>
      <c r="K30" s="3"/>
      <c r="L30" s="3"/>
      <c r="M30" s="3"/>
      <c r="N30" s="3"/>
      <c r="O30" s="3"/>
      <c r="P30" s="3"/>
      <c r="Q30" s="3"/>
      <c r="R30" s="3"/>
      <c r="S30" s="3"/>
    </row>
    <row r="31" customFormat="false" ht="18" hidden="false" customHeight="false" outlineLevel="0" collapsed="false">
      <c r="A31" s="47"/>
      <c r="B31" s="47"/>
      <c r="C31" s="47"/>
      <c r="D31" s="47"/>
      <c r="E31" s="47"/>
      <c r="F31" s="47"/>
      <c r="G31" s="47"/>
      <c r="K31" s="3"/>
      <c r="L31" s="3"/>
      <c r="M31" s="3"/>
      <c r="N31" s="3"/>
      <c r="O31" s="3"/>
      <c r="P31" s="3"/>
      <c r="Q31" s="3"/>
      <c r="R31" s="3"/>
      <c r="S31" s="3"/>
    </row>
    <row r="32" customFormat="false" ht="18" hidden="false" customHeight="false" outlineLevel="0" collapsed="false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</row>
    <row r="33" customFormat="false" ht="18" hidden="false" customHeight="false" outlineLevel="0" collapsed="false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</row>
  </sheetData>
  <mergeCells count="7">
    <mergeCell ref="A23:B23"/>
    <mergeCell ref="A25:D25"/>
    <mergeCell ref="A26:D26"/>
    <mergeCell ref="A27:D27"/>
    <mergeCell ref="A28:D28"/>
    <mergeCell ref="E28:F28"/>
    <mergeCell ref="A30:G31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S80"/>
  <sheetViews>
    <sheetView showFormulas="false" showGridLines="true" showRowColHeaders="true" showZeros="true" rightToLeft="false" tabSelected="false" showOutlineSymbols="true" defaultGridColor="true" view="normal" topLeftCell="A34" colorId="64" zoomScale="100" zoomScaleNormal="100" zoomScalePageLayoutView="100" workbookViewId="0">
      <selection pane="topLeft" activeCell="D81" activeCellId="0" sqref="D8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0" width="9.29"/>
    <col collapsed="false" customWidth="true" hidden="false" outlineLevel="0" max="2" min="2" style="0" width="15.42"/>
    <col collapsed="false" customWidth="true" hidden="false" outlineLevel="0" max="3" min="3" style="0" width="10.71"/>
    <col collapsed="false" customWidth="true" hidden="false" outlineLevel="0" max="4" min="4" style="0" width="8.86"/>
    <col collapsed="false" customWidth="true" hidden="false" outlineLevel="0" max="5" min="5" style="0" width="10"/>
    <col collapsed="false" customWidth="true" hidden="false" outlineLevel="0" max="6" min="6" style="0" width="9.29"/>
    <col collapsed="false" customWidth="true" hidden="false" outlineLevel="0" max="9" min="7" style="0" width="10.71"/>
  </cols>
  <sheetData>
    <row r="1" customFormat="false" ht="17.35" hidden="false" customHeight="false" outlineLevel="0" collapsed="false">
      <c r="A1" s="48" t="s">
        <v>61</v>
      </c>
      <c r="B1" s="49"/>
      <c r="C1" s="49"/>
      <c r="D1" s="50"/>
      <c r="E1" s="50"/>
      <c r="F1" s="51"/>
      <c r="K1" s="3"/>
      <c r="L1" s="3"/>
      <c r="M1" s="3"/>
      <c r="N1" s="3"/>
      <c r="O1" s="3"/>
      <c r="P1" s="3"/>
      <c r="Q1" s="3"/>
      <c r="R1" s="3"/>
      <c r="S1" s="3"/>
    </row>
    <row r="2" customFormat="false" ht="17.35" hidden="false" customHeight="false" outlineLevel="0" collapsed="false">
      <c r="A2" s="52"/>
      <c r="B2" s="49"/>
      <c r="C2" s="49"/>
      <c r="D2" s="50"/>
      <c r="E2" s="50"/>
      <c r="F2" s="51"/>
      <c r="K2" s="3"/>
      <c r="L2" s="3"/>
      <c r="M2" s="3"/>
      <c r="N2" s="3"/>
      <c r="O2" s="3"/>
      <c r="P2" s="3"/>
      <c r="Q2" s="3"/>
      <c r="R2" s="3"/>
      <c r="S2" s="3"/>
    </row>
    <row r="3" customFormat="false" ht="17.35" hidden="false" customHeight="false" outlineLevel="0" collapsed="false">
      <c r="A3" s="53"/>
      <c r="B3" s="53"/>
      <c r="C3" s="5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customFormat="false" ht="17.35" hidden="false" customHeight="false" outlineLevel="0" collapsed="false">
      <c r="A4" s="54"/>
      <c r="B4" s="54"/>
      <c r="C4" s="54"/>
      <c r="D4" s="54"/>
      <c r="E4" s="54"/>
      <c r="F4" s="54"/>
      <c r="I4" s="3"/>
      <c r="J4" s="3"/>
      <c r="K4" s="3"/>
      <c r="L4" s="3"/>
      <c r="M4" s="3"/>
      <c r="N4" s="3"/>
      <c r="O4" s="3"/>
      <c r="P4" s="3"/>
      <c r="Q4" s="3"/>
      <c r="R4" s="3"/>
      <c r="S4" s="3"/>
    </row>
    <row r="5" customFormat="false" ht="17.35" hidden="false" customHeight="false" outlineLevel="0" collapsed="false"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customFormat="false" ht="17.35" hidden="false" customHeight="false" outlineLevel="0" collapsed="false">
      <c r="A6" s="55" t="s">
        <v>62</v>
      </c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customFormat="false" ht="17.35" hidden="false" customHeight="false" outlineLevel="0" collapsed="false">
      <c r="A7" s="56" t="s">
        <v>63</v>
      </c>
      <c r="B7" s="56"/>
      <c r="C7" s="56"/>
      <c r="I7" s="3"/>
      <c r="J7" s="3"/>
      <c r="K7" s="3"/>
      <c r="L7" s="3"/>
      <c r="M7" s="3"/>
      <c r="N7" s="3"/>
      <c r="O7" s="3"/>
      <c r="P7" s="3"/>
      <c r="Q7" s="3"/>
      <c r="R7" s="3"/>
      <c r="S7" s="3"/>
    </row>
    <row r="8" customFormat="false" ht="17.35" hidden="false" customHeight="false" outlineLevel="0" collapsed="false">
      <c r="A8" s="56" t="s">
        <v>64</v>
      </c>
      <c r="B8" s="56"/>
      <c r="C8" s="56"/>
      <c r="I8" s="3"/>
      <c r="J8" s="3"/>
      <c r="K8" s="3"/>
      <c r="L8" s="3"/>
      <c r="M8" s="3"/>
      <c r="N8" s="3"/>
      <c r="O8" s="3"/>
      <c r="P8" s="3"/>
      <c r="Q8" s="3"/>
      <c r="R8" s="3"/>
      <c r="S8" s="3"/>
    </row>
    <row r="9" customFormat="false" ht="17.35" hidden="false" customHeight="false" outlineLevel="0" collapsed="false">
      <c r="I9" s="3"/>
      <c r="J9" s="3"/>
      <c r="K9" s="3"/>
      <c r="L9" s="3"/>
      <c r="M9" s="3"/>
      <c r="N9" s="3"/>
      <c r="O9" s="3"/>
      <c r="P9" s="3"/>
      <c r="Q9" s="3"/>
      <c r="R9" s="3"/>
      <c r="S9" s="3"/>
    </row>
    <row r="10" customFormat="false" ht="17.35" hidden="false" customHeight="false" outlineLevel="0" collapsed="false">
      <c r="A10" s="57" t="s">
        <v>65</v>
      </c>
      <c r="B10" s="57"/>
      <c r="C10" s="57"/>
      <c r="D10" s="58" t="s">
        <v>66</v>
      </c>
      <c r="E10" s="58" t="s">
        <v>67</v>
      </c>
      <c r="F10" s="57" t="s">
        <v>68</v>
      </c>
      <c r="G10" s="59" t="s">
        <v>69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</row>
    <row r="11" customFormat="false" ht="17.35" hidden="false" customHeight="false" outlineLevel="0" collapsed="false">
      <c r="A11" s="60" t="s">
        <v>70</v>
      </c>
      <c r="B11" s="57" t="s">
        <v>71</v>
      </c>
      <c r="C11" s="57"/>
      <c r="D11" s="57" t="n">
        <v>0.2</v>
      </c>
      <c r="E11" s="57"/>
      <c r="F11" s="57" t="n">
        <f aca="false">+E11*D11</f>
        <v>0</v>
      </c>
      <c r="G11" s="0" t="n">
        <f aca="false">E11*0.0000000358701</f>
        <v>0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</row>
    <row r="12" customFormat="false" ht="17.35" hidden="false" customHeight="false" outlineLevel="0" collapsed="false">
      <c r="A12" s="57"/>
      <c r="B12" s="57" t="s">
        <v>72</v>
      </c>
      <c r="C12" s="57"/>
      <c r="D12" s="57" t="n">
        <v>0.25</v>
      </c>
      <c r="E12" s="57"/>
      <c r="F12" s="57" t="n">
        <f aca="false">+E12*D12</f>
        <v>0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</row>
    <row r="13" customFormat="false" ht="17.35" hidden="false" customHeight="false" outlineLevel="0" collapsed="false">
      <c r="A13" s="57"/>
      <c r="B13" s="57" t="s">
        <v>73</v>
      </c>
      <c r="C13" s="57"/>
      <c r="D13" s="61" t="n">
        <v>0.95</v>
      </c>
      <c r="E13" s="57" t="n">
        <v>100000</v>
      </c>
      <c r="F13" s="57" t="n">
        <f aca="false">+E13*D13</f>
        <v>95000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</row>
    <row r="14" customFormat="false" ht="17.35" hidden="false" customHeight="false" outlineLevel="0" collapsed="false">
      <c r="A14" s="57"/>
      <c r="B14" s="57"/>
      <c r="C14" s="57"/>
      <c r="D14" s="57"/>
      <c r="E14" s="57" t="n">
        <f aca="false">SUM(E11:E13)</f>
        <v>100000</v>
      </c>
      <c r="F14" s="57" t="n">
        <f aca="false">SUM(F11:F13)</f>
        <v>95000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</row>
    <row r="15" customFormat="false" ht="17.35" hidden="false" customHeight="false" outlineLevel="0" collapsed="false">
      <c r="A15" s="57"/>
      <c r="B15" s="57" t="s">
        <v>74</v>
      </c>
      <c r="C15" s="57"/>
      <c r="D15" s="61" t="n">
        <f aca="false">+F14/E14</f>
        <v>0.95</v>
      </c>
      <c r="E15" s="57"/>
      <c r="F15" s="57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</row>
    <row r="16" customFormat="false" ht="17.35" hidden="false" customHeight="false" outlineLevel="0" collapsed="false">
      <c r="A16" s="57"/>
      <c r="B16" s="57"/>
      <c r="C16" s="57"/>
      <c r="D16" s="57"/>
      <c r="E16" s="57"/>
      <c r="F16" s="57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</row>
    <row r="17" customFormat="false" ht="15" hidden="false" customHeight="false" outlineLevel="0" collapsed="false">
      <c r="A17" s="60" t="s">
        <v>75</v>
      </c>
      <c r="B17" s="57" t="s">
        <v>76</v>
      </c>
      <c r="C17" s="57" t="n">
        <v>440</v>
      </c>
      <c r="D17" s="57" t="s">
        <v>77</v>
      </c>
      <c r="E17" s="57"/>
      <c r="F17" s="62"/>
    </row>
    <row r="18" customFormat="false" ht="15" hidden="false" customHeight="false" outlineLevel="0" collapsed="false">
      <c r="A18" s="57"/>
      <c r="B18" s="57" t="s">
        <v>78</v>
      </c>
      <c r="C18" s="63" t="n">
        <f aca="false">+F18*100</f>
        <v>1</v>
      </c>
      <c r="D18" s="57"/>
      <c r="E18" s="63"/>
      <c r="F18" s="57" t="n">
        <v>0.01</v>
      </c>
    </row>
    <row r="19" customFormat="false" ht="15" hidden="false" customHeight="false" outlineLevel="0" collapsed="false">
      <c r="A19" s="57"/>
      <c r="B19" s="57" t="s">
        <v>79</v>
      </c>
      <c r="C19" s="61" t="n">
        <f aca="false">+D15</f>
        <v>0.95</v>
      </c>
      <c r="D19" s="57"/>
      <c r="E19" s="57"/>
      <c r="F19" s="57"/>
    </row>
    <row r="20" customFormat="false" ht="15" hidden="false" customHeight="false" outlineLevel="0" collapsed="false">
      <c r="A20" s="57"/>
      <c r="B20" s="57" t="s">
        <v>80</v>
      </c>
      <c r="C20" s="57" t="s">
        <v>81</v>
      </c>
      <c r="D20" s="64" t="n">
        <f aca="false">0.7039*C21*D21*E21</f>
        <v>8.0936375776752</v>
      </c>
      <c r="E20" s="57" t="s">
        <v>82</v>
      </c>
      <c r="F20" s="57"/>
      <c r="G20" s="65"/>
      <c r="H20" s="65"/>
    </row>
    <row r="21" customFormat="false" ht="15" hidden="false" customHeight="false" outlineLevel="0" collapsed="false">
      <c r="A21" s="57"/>
      <c r="B21" s="57"/>
      <c r="C21" s="57" t="n">
        <f aca="false">+C17^0.3917</f>
        <v>10.850266702192</v>
      </c>
      <c r="D21" s="57" t="n">
        <f aca="false">+C19^-1.1309</f>
        <v>1.05972303539882</v>
      </c>
      <c r="E21" s="57" t="n">
        <f aca="false">+C18^-0.1985</f>
        <v>1</v>
      </c>
      <c r="F21" s="57"/>
    </row>
    <row r="22" customFormat="false" ht="15" hidden="false" customHeight="false" outlineLevel="0" collapsed="false">
      <c r="A22" s="57"/>
      <c r="B22" s="57"/>
      <c r="C22" s="57"/>
      <c r="D22" s="57"/>
      <c r="E22" s="57"/>
      <c r="F22" s="57"/>
    </row>
    <row r="23" customFormat="false" ht="15" hidden="false" customHeight="false" outlineLevel="0" collapsed="false">
      <c r="A23" s="57"/>
      <c r="B23" s="57" t="s">
        <v>83</v>
      </c>
      <c r="C23" s="57"/>
      <c r="D23" s="61" t="n">
        <f aca="false">+((C24+C26)^C27)*C25</f>
        <v>9.74965638692861</v>
      </c>
      <c r="E23" s="57"/>
      <c r="F23" s="57"/>
    </row>
    <row r="24" customFormat="false" ht="15" hidden="false" customHeight="false" outlineLevel="0" collapsed="false">
      <c r="A24" s="57"/>
      <c r="B24" s="58" t="s">
        <v>84</v>
      </c>
      <c r="C24" s="57" t="n">
        <f aca="false">+D20/60</f>
        <v>0.13489395962792</v>
      </c>
      <c r="D24" s="57"/>
      <c r="E24" s="57"/>
      <c r="F24" s="57"/>
    </row>
    <row r="25" customFormat="false" ht="15" hidden="false" customHeight="false" outlineLevel="0" collapsed="false">
      <c r="A25" s="57"/>
      <c r="B25" s="58" t="s">
        <v>85</v>
      </c>
      <c r="C25" s="57" t="n">
        <v>5.487</v>
      </c>
      <c r="D25" s="57"/>
      <c r="E25" s="57"/>
      <c r="F25" s="57"/>
    </row>
    <row r="26" customFormat="false" ht="15" hidden="false" customHeight="false" outlineLevel="0" collapsed="false">
      <c r="A26" s="57"/>
      <c r="B26" s="58" t="s">
        <v>86</v>
      </c>
      <c r="C26" s="57" t="n">
        <v>0.334</v>
      </c>
      <c r="D26" s="57"/>
      <c r="E26" s="57"/>
      <c r="F26" s="57"/>
    </row>
    <row r="27" customFormat="false" ht="15" hidden="false" customHeight="false" outlineLevel="0" collapsed="false">
      <c r="A27" s="57"/>
      <c r="B27" s="58" t="s">
        <v>87</v>
      </c>
      <c r="C27" s="57" t="n">
        <v>-0.759</v>
      </c>
      <c r="D27" s="57"/>
      <c r="E27" s="57"/>
      <c r="F27" s="57"/>
    </row>
    <row r="28" customFormat="false" ht="15" hidden="false" customHeight="false" outlineLevel="0" collapsed="false">
      <c r="A28" s="57"/>
      <c r="B28" s="66" t="s">
        <v>88</v>
      </c>
      <c r="C28" s="67" t="n">
        <f aca="false">+E14/43560</f>
        <v>2.29568411386593</v>
      </c>
      <c r="D28" s="57"/>
      <c r="E28" s="57"/>
      <c r="F28" s="57"/>
    </row>
    <row r="29" customFormat="false" ht="15" hidden="false" customHeight="false" outlineLevel="0" collapsed="false">
      <c r="A29" s="57"/>
      <c r="B29" s="57" t="s">
        <v>89</v>
      </c>
      <c r="C29" s="57" t="s">
        <v>90</v>
      </c>
      <c r="D29" s="61" t="n">
        <f aca="false">+C28*D23*C19</f>
        <v>21.2630247189674</v>
      </c>
      <c r="E29" s="57" t="s">
        <v>12</v>
      </c>
      <c r="F29" s="57"/>
    </row>
    <row r="32" customFormat="false" ht="15" hidden="false" customHeight="false" outlineLevel="0" collapsed="false">
      <c r="A32" s="68"/>
      <c r="B32" s="69" t="s">
        <v>91</v>
      </c>
      <c r="C32" s="70" t="n">
        <f aca="false">+D29</f>
        <v>21.2630247189674</v>
      </c>
      <c r="D32" s="71" t="s">
        <v>12</v>
      </c>
      <c r="E32" s="68"/>
      <c r="F32" s="68"/>
    </row>
    <row r="33" customFormat="false" ht="15" hidden="false" customHeight="false" outlineLevel="0" collapsed="false">
      <c r="B33" s="56"/>
      <c r="C33" s="72"/>
      <c r="D33" s="56"/>
    </row>
    <row r="35" customFormat="false" ht="15" hidden="false" customHeight="false" outlineLevel="0" collapsed="false">
      <c r="A35" s="56" t="s">
        <v>92</v>
      </c>
      <c r="B35" s="56"/>
      <c r="C35" s="56"/>
    </row>
    <row r="36" customFormat="false" ht="15" hidden="false" customHeight="false" outlineLevel="0" collapsed="false">
      <c r="A36" s="56" t="s">
        <v>64</v>
      </c>
      <c r="B36" s="56"/>
      <c r="C36" s="56"/>
    </row>
    <row r="38" customFormat="false" ht="15" hidden="false" customHeight="false" outlineLevel="0" collapsed="false">
      <c r="A38" s="0" t="s">
        <v>65</v>
      </c>
      <c r="D38" s="73" t="s">
        <v>66</v>
      </c>
      <c r="E38" s="73" t="s">
        <v>67</v>
      </c>
      <c r="F38" s="0" t="s">
        <v>68</v>
      </c>
    </row>
    <row r="39" customFormat="false" ht="15" hidden="false" customHeight="false" outlineLevel="0" collapsed="false">
      <c r="A39" s="74" t="s">
        <v>70</v>
      </c>
      <c r="B39" s="0" t="s">
        <v>71</v>
      </c>
      <c r="D39" s="0" t="n">
        <v>0.2</v>
      </c>
      <c r="E39" s="0" t="n">
        <f aca="false">+E14-E41</f>
        <v>40867</v>
      </c>
      <c r="F39" s="75" t="n">
        <f aca="false">+E39*D39</f>
        <v>8173.4</v>
      </c>
    </row>
    <row r="40" customFormat="false" ht="15" hidden="false" customHeight="false" outlineLevel="0" collapsed="false">
      <c r="B40" s="0" t="s">
        <v>72</v>
      </c>
      <c r="D40" s="0" t="n">
        <v>0.25</v>
      </c>
      <c r="F40" s="75" t="n">
        <f aca="false">+E40*D40</f>
        <v>0</v>
      </c>
    </row>
    <row r="41" customFormat="false" ht="15" hidden="false" customHeight="false" outlineLevel="0" collapsed="false">
      <c r="B41" s="0" t="s">
        <v>73</v>
      </c>
      <c r="D41" s="75" t="n">
        <v>0.95</v>
      </c>
      <c r="E41" s="0" t="n">
        <v>59133</v>
      </c>
      <c r="F41" s="76" t="n">
        <f aca="false">+E41*D41</f>
        <v>56176.35</v>
      </c>
    </row>
    <row r="42" customFormat="false" ht="15" hidden="false" customHeight="false" outlineLevel="0" collapsed="false">
      <c r="E42" s="0" t="n">
        <f aca="false">SUM(E39:E41)</f>
        <v>100000</v>
      </c>
      <c r="F42" s="75" t="n">
        <f aca="false">SUM(F39:F41)</f>
        <v>64349.75</v>
      </c>
    </row>
    <row r="43" customFormat="false" ht="15" hidden="false" customHeight="false" outlineLevel="0" collapsed="false">
      <c r="B43" s="0" t="s">
        <v>74</v>
      </c>
      <c r="D43" s="77" t="n">
        <f aca="false">+F42/E42</f>
        <v>0.6434975</v>
      </c>
    </row>
    <row r="45" customFormat="false" ht="15" hidden="false" customHeight="false" outlineLevel="0" collapsed="false">
      <c r="A45" s="74" t="s">
        <v>75</v>
      </c>
      <c r="B45" s="0" t="s">
        <v>76</v>
      </c>
      <c r="C45" s="0" t="n">
        <v>348</v>
      </c>
      <c r="D45" s="0" t="s">
        <v>77</v>
      </c>
    </row>
    <row r="46" customFormat="false" ht="15" hidden="false" customHeight="false" outlineLevel="0" collapsed="false">
      <c r="B46" s="0" t="s">
        <v>78</v>
      </c>
      <c r="C46" s="78" t="n">
        <v>0.56</v>
      </c>
      <c r="E46" s="78"/>
    </row>
    <row r="47" customFormat="false" ht="15" hidden="false" customHeight="false" outlineLevel="0" collapsed="false">
      <c r="B47" s="0" t="s">
        <v>79</v>
      </c>
      <c r="C47" s="77" t="n">
        <f aca="false">+D43</f>
        <v>0.6434975</v>
      </c>
    </row>
    <row r="48" customFormat="false" ht="15" hidden="false" customHeight="false" outlineLevel="0" collapsed="false">
      <c r="B48" s="0" t="s">
        <v>80</v>
      </c>
      <c r="C48" s="0" t="s">
        <v>81</v>
      </c>
      <c r="D48" s="65" t="n">
        <f aca="false">0.7039*C49*D49*E49</f>
        <v>12.8690528137238</v>
      </c>
      <c r="E48" s="0" t="s">
        <v>82</v>
      </c>
      <c r="G48" s="65"/>
      <c r="H48" s="65"/>
    </row>
    <row r="49" customFormat="false" ht="15" hidden="false" customHeight="false" outlineLevel="0" collapsed="false">
      <c r="C49" s="0" t="n">
        <f aca="false">+C45^0.3917</f>
        <v>9.89775250160467</v>
      </c>
      <c r="D49" s="0" t="n">
        <f aca="false">+C47^-1.1309</f>
        <v>1.6463203689946</v>
      </c>
      <c r="E49" s="0" t="n">
        <f aca="false">+C46^-0.1985</f>
        <v>1.12197886643952</v>
      </c>
    </row>
    <row r="51" customFormat="false" ht="15" hidden="false" customHeight="false" outlineLevel="0" collapsed="false">
      <c r="B51" s="0" t="s">
        <v>83</v>
      </c>
      <c r="D51" s="75" t="n">
        <f aca="false">+((C52+C54)^C55)*C53</f>
        <v>8.65584326369423</v>
      </c>
    </row>
    <row r="52" customFormat="false" ht="15" hidden="false" customHeight="false" outlineLevel="0" collapsed="false">
      <c r="B52" s="73" t="s">
        <v>84</v>
      </c>
      <c r="C52" s="0" t="n">
        <f aca="false">+D48/60</f>
        <v>0.214484213562064</v>
      </c>
    </row>
    <row r="53" customFormat="false" ht="15" hidden="false" customHeight="false" outlineLevel="0" collapsed="false">
      <c r="B53" s="73" t="s">
        <v>85</v>
      </c>
      <c r="C53" s="0" t="n">
        <v>5.487</v>
      </c>
    </row>
    <row r="54" customFormat="false" ht="15" hidden="false" customHeight="false" outlineLevel="0" collapsed="false">
      <c r="B54" s="73" t="s">
        <v>86</v>
      </c>
      <c r="C54" s="0" t="n">
        <v>0.334</v>
      </c>
    </row>
    <row r="55" customFormat="false" ht="15" hidden="false" customHeight="false" outlineLevel="0" collapsed="false">
      <c r="B55" s="73" t="s">
        <v>87</v>
      </c>
      <c r="C55" s="0" t="n">
        <v>-0.759</v>
      </c>
    </row>
    <row r="56" customFormat="false" ht="15" hidden="false" customHeight="false" outlineLevel="0" collapsed="false">
      <c r="B56" s="79" t="s">
        <v>88</v>
      </c>
      <c r="C56" s="77" t="n">
        <f aca="false">+C28</f>
        <v>2.29568411386593</v>
      </c>
    </row>
    <row r="57" customFormat="false" ht="15" hidden="false" customHeight="false" outlineLevel="0" collapsed="false">
      <c r="B57" s="0" t="s">
        <v>89</v>
      </c>
      <c r="C57" s="0" t="s">
        <v>90</v>
      </c>
      <c r="D57" s="75" t="n">
        <f aca="false">+C56*D51*C47</f>
        <v>12.7869915072982</v>
      </c>
      <c r="E57" s="0" t="s">
        <v>12</v>
      </c>
    </row>
    <row r="59" customFormat="false" ht="15" hidden="false" customHeight="false" outlineLevel="0" collapsed="false">
      <c r="B59" s="56" t="s">
        <v>93</v>
      </c>
      <c r="C59" s="72" t="n">
        <f aca="false">+D57</f>
        <v>12.7869915072982</v>
      </c>
      <c r="D59" s="56" t="str">
        <f aca="false">+E57</f>
        <v>cfs</v>
      </c>
    </row>
    <row r="61" customFormat="false" ht="15" hidden="false" customHeight="false" outlineLevel="0" collapsed="false">
      <c r="B61" s="56" t="s">
        <v>94</v>
      </c>
      <c r="C61" s="56"/>
      <c r="D61" s="56"/>
      <c r="E61" s="56"/>
      <c r="F61" s="56"/>
      <c r="G61" s="72" t="n">
        <f aca="false">+C32</f>
        <v>21.2630247189674</v>
      </c>
      <c r="H61" s="55" t="s">
        <v>12</v>
      </c>
    </row>
    <row r="63" customFormat="false" ht="15" hidden="false" customHeight="false" outlineLevel="0" collapsed="false">
      <c r="A63" s="56" t="s">
        <v>95</v>
      </c>
    </row>
    <row r="64" customFormat="false" ht="15" hidden="false" customHeight="false" outlineLevel="0" collapsed="false">
      <c r="D64" s="75"/>
    </row>
    <row r="65" customFormat="false" ht="15" hidden="false" customHeight="false" outlineLevel="0" collapsed="false">
      <c r="B65" s="0" t="s">
        <v>96</v>
      </c>
      <c r="C65" s="73"/>
      <c r="D65" s="74" t="s">
        <v>97</v>
      </c>
      <c r="E65" s="74" t="s">
        <v>98</v>
      </c>
      <c r="F65" s="0" t="s">
        <v>99</v>
      </c>
    </row>
    <row r="66" customFormat="false" ht="15" hidden="false" customHeight="false" outlineLevel="0" collapsed="false">
      <c r="B66" s="73" t="n">
        <v>10</v>
      </c>
      <c r="C66" s="0" t="s">
        <v>100</v>
      </c>
      <c r="D66" s="75" t="n">
        <f aca="false">((B66/60+$C$54)^$C$55)*$C$53</f>
        <v>9.27635827197544</v>
      </c>
      <c r="E66" s="75" t="n">
        <f aca="false">+D66*$C$56*$C$47</f>
        <v>13.7036578446293</v>
      </c>
      <c r="F66" s="80" t="n">
        <f aca="false">+B66*E66*60-(0.5*$G$61*(B66+$D$48)*60)</f>
        <v>-6365.76235154983</v>
      </c>
    </row>
    <row r="67" customFormat="false" ht="15" hidden="false" customHeight="false" outlineLevel="0" collapsed="false">
      <c r="B67" s="73" t="n">
        <v>20</v>
      </c>
      <c r="C67" s="0" t="s">
        <v>100</v>
      </c>
      <c r="D67" s="75" t="n">
        <f aca="false">((B67/60+$C$54)^$C$55)*$C$53</f>
        <v>7.45862480238142</v>
      </c>
      <c r="E67" s="75" t="n">
        <f aca="false">+D67*$C$56*$C$47</f>
        <v>11.0183801969018</v>
      </c>
      <c r="F67" s="80" t="n">
        <f aca="false">+B67*E67*60-(0.5*$G$61*(B67+$D$48)*60)</f>
        <v>-7744.80823773541</v>
      </c>
    </row>
    <row r="68" customFormat="false" ht="15" hidden="false" customHeight="false" outlineLevel="0" collapsed="false">
      <c r="B68" s="73" t="n">
        <v>30</v>
      </c>
      <c r="C68" s="0" t="s">
        <v>100</v>
      </c>
      <c r="D68" s="75" t="n">
        <f aca="false">((B68/60+$C$54)^$C$55)*$C$53</f>
        <v>6.29752539906124</v>
      </c>
      <c r="E68" s="75" t="n">
        <f aca="false">+D68*$C$56*$C$47</f>
        <v>9.30312637851792</v>
      </c>
      <c r="F68" s="80" t="n">
        <f aca="false">+B68*E68*60-(0.5*$G$61*(B68+$D$48)*60)</f>
        <v>-10600.1444083755</v>
      </c>
    </row>
    <row r="69" customFormat="false" ht="15" hidden="false" customHeight="false" outlineLevel="0" collapsed="false">
      <c r="B69" s="73" t="n">
        <v>40</v>
      </c>
      <c r="C69" s="0" t="s">
        <v>100</v>
      </c>
      <c r="D69" s="75" t="n">
        <f aca="false">((B69/60+$C$54)^$C$55)*$C$53</f>
        <v>5.4842252049113</v>
      </c>
      <c r="E69" s="75" t="n">
        <f aca="false">+D69*$C$56*$C$47</f>
        <v>8.10166485031545</v>
      </c>
      <c r="F69" s="80" t="n">
        <f aca="false">+B69*E69*60-(0.5*$G$61*(B69+$D$48)*60)</f>
        <v>-14280.6836646409</v>
      </c>
    </row>
    <row r="70" customFormat="false" ht="15" hidden="false" customHeight="false" outlineLevel="0" collapsed="false">
      <c r="B70" s="73" t="n">
        <v>50</v>
      </c>
      <c r="C70" s="0" t="s">
        <v>100</v>
      </c>
      <c r="D70" s="75" t="n">
        <f aca="false">((B70/60+$C$54)^$C$55)*$C$53</f>
        <v>4.87903620641131</v>
      </c>
      <c r="E70" s="75" t="n">
        <f aca="false">+D70*$C$56*$C$47</f>
        <v>7.20763912129285</v>
      </c>
      <c r="F70" s="80" t="n">
        <f aca="false">+B70*E70*60-(0.5*$G$61*(B70+$D$48)*60)</f>
        <v>-18480.6693572097</v>
      </c>
    </row>
    <row r="71" customFormat="false" ht="15" hidden="false" customHeight="false" outlineLevel="0" collapsed="false">
      <c r="B71" s="73" t="n">
        <v>60</v>
      </c>
      <c r="C71" s="0" t="s">
        <v>100</v>
      </c>
      <c r="D71" s="75" t="n">
        <f aca="false">((B71/60+$C$54)^$C$55)*$C$53</f>
        <v>4.40901610854691</v>
      </c>
      <c r="E71" s="75" t="n">
        <f aca="false">+D71*$C$56*$C$47</f>
        <v>6.51329394699188</v>
      </c>
      <c r="F71" s="80" t="n">
        <f aca="false">+B71*E71*60-(0.5*$G$61*(B71+$D$48)*60)</f>
        <v>-23034.6359276076</v>
      </c>
    </row>
    <row r="72" customFormat="false" ht="15" hidden="false" customHeight="false" outlineLevel="0" collapsed="false">
      <c r="B72" s="73" t="n">
        <v>75</v>
      </c>
      <c r="C72" s="0" t="s">
        <v>100</v>
      </c>
      <c r="D72" s="75" t="n">
        <f aca="false">((B72/60+$C$54)^$C$55)*$C$53</f>
        <v>3.87008746821466</v>
      </c>
      <c r="E72" s="75" t="n">
        <f aca="false">+D72*$C$56*$C$47</f>
        <v>5.71715245770767</v>
      </c>
      <c r="F72" s="80" t="n">
        <f aca="false">+B72*E72*60-(0.5*$G$61*(B72+$D$48)*60)</f>
        <v>-30323.6692006292</v>
      </c>
    </row>
    <row r="73" customFormat="false" ht="15" hidden="false" customHeight="false" outlineLevel="0" collapsed="false">
      <c r="B73" s="73" t="n">
        <v>80</v>
      </c>
      <c r="C73" s="0" t="s">
        <v>100</v>
      </c>
      <c r="D73" s="75" t="n">
        <f aca="false">((B73/60+$C$54)^$C$55)*$C$53</f>
        <v>3.72237338044583</v>
      </c>
      <c r="E73" s="75" t="n">
        <f aca="false">+D73*$C$56*$C$47</f>
        <v>5.49893931217502</v>
      </c>
      <c r="F73" s="80" t="n">
        <f aca="false">+B73*E73*60-(0.5*$G$61*(B73+$D$48)*60)</f>
        <v>-32845.4002697187</v>
      </c>
    </row>
    <row r="74" customFormat="false" ht="15" hidden="false" customHeight="false" outlineLevel="0" collapsed="false">
      <c r="B74" s="73" t="n">
        <v>90</v>
      </c>
      <c r="C74" s="0" t="s">
        <v>100</v>
      </c>
      <c r="D74" s="75" t="n">
        <f aca="false">((B74/60+$C$54)^$C$55)*$C$53</f>
        <v>3.46270000608902</v>
      </c>
      <c r="E74" s="75" t="n">
        <f aca="false">+D74*$C$56*$C$47</f>
        <v>5.11533240855893</v>
      </c>
      <c r="F74" s="80" t="n">
        <f aca="false">+B74*E74*60-(0.5*$G$61*(B74+$D$48)*60)</f>
        <v>-37996.4213776308</v>
      </c>
    </row>
    <row r="75" customFormat="false" ht="15" hidden="false" customHeight="false" outlineLevel="0" collapsed="false">
      <c r="B75" s="73" t="n">
        <v>100</v>
      </c>
      <c r="C75" s="0" t="s">
        <v>100</v>
      </c>
      <c r="D75" s="75" t="n">
        <f aca="false">((B75/60+$C$54)^$C$55)*$C$53</f>
        <v>3.24147991753121</v>
      </c>
      <c r="E75" s="75" t="n">
        <f aca="false">+D75*$C$56*$C$47</f>
        <v>4.78853127463623</v>
      </c>
      <c r="F75" s="80" t="n">
        <f aca="false">+B75*E75*60-(0.5*$G$61*(B75+$D$48)*60)</f>
        <v>-43266.9361517219</v>
      </c>
    </row>
    <row r="76" customFormat="false" ht="15" hidden="false" customHeight="false" outlineLevel="0" collapsed="false">
      <c r="B76" s="73" t="n">
        <v>110</v>
      </c>
      <c r="C76" s="0" t="s">
        <v>100</v>
      </c>
      <c r="D76" s="75" t="n">
        <f aca="false">((B76/60+$C$54)^$C$55)*$C$53</f>
        <v>3.05047412808082</v>
      </c>
      <c r="E76" s="75" t="n">
        <f aca="false">+D76*$C$56*$C$47</f>
        <v>4.50636472735236</v>
      </c>
      <c r="F76" s="80" t="n">
        <f aca="false">+B76*E76*60-(0.5*$G$61*(B76+$D$48)*60)</f>
        <v>-48635.0240147039</v>
      </c>
    </row>
    <row r="80" customFormat="false" ht="15" hidden="false" customHeight="false" outlineLevel="0" collapsed="false">
      <c r="B80" s="0" t="s">
        <v>101</v>
      </c>
      <c r="D80" s="75" t="n">
        <f aca="false">AVERAGE(D66:D76)</f>
        <v>5.01380917214992</v>
      </c>
      <c r="E80" s="75" t="n">
        <f aca="false">AVERAGE(E66:E76)</f>
        <v>7.40673477446176</v>
      </c>
    </row>
  </sheetData>
  <mergeCells count="1">
    <mergeCell ref="A4:F4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LibreOffice/25.8.1.1$Windows_X86_64 LibreOffice_project/54047653041915e595ad4e45cccea684809c77b5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2015-06-05T18:17:20Z</dcterms:created>
  <dc:creator>Dave</dc:creator>
  <dc:description/>
  <dc:language>en-US</dc:language>
  <cp:lastModifiedBy/>
  <dcterms:modified xsi:type="dcterms:W3CDTF">2025-09-26T08:01:45Z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